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chartsheets/sheet1.xml" ContentType="application/vnd.openxmlformats-officedocument.spreadsheetml.chart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xl/drawings/drawing3.xml" ContentType="application/vnd.openxmlformats-officedocument.drawing+xml"/>
  <Override PartName="/xl/charts/chart1.xml" ContentType="application/vnd.openxmlformats-officedocument.drawingml.chart+xml"/>
  <Override PartName="/xl/drawings/drawing4.xml" ContentType="application/vnd.openxmlformats-officedocument.drawingml.chartshapes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426"/>
  <workbookPr/>
  <mc:AlternateContent xmlns:mc="http://schemas.openxmlformats.org/markup-compatibility/2006">
    <mc:Choice Requires="x15">
      <x15ac:absPath xmlns:x15ac="http://schemas.microsoft.com/office/spreadsheetml/2010/11/ac" url="D:\Finch\all_files_used\"/>
    </mc:Choice>
  </mc:AlternateContent>
  <xr:revisionPtr revIDLastSave="0" documentId="13_ncr:1_{0FAAD1D8-3B9D-46C1-936B-6C16BA8FDCD0}" xr6:coauthVersionLast="47" xr6:coauthVersionMax="47" xr10:uidLastSave="{00000000-0000-0000-0000-000000000000}"/>
  <bookViews>
    <workbookView xWindow="-120" yWindow="-120" windowWidth="29040" windowHeight="17520" activeTab="1" xr2:uid="{00000000-000D-0000-FFFF-FFFF00000000}"/>
  </bookViews>
  <sheets>
    <sheet name="Summary" sheetId="5" r:id="rId1"/>
    <sheet name="Damage Calculations" sheetId="3" r:id="rId2"/>
    <sheet name="Tenaska's i Adjustment" sheetId="1" r:id="rId3"/>
    <sheet name="Brazos' i Adjustment" sheetId="6" r:id="rId4"/>
    <sheet name="Offer Comparison" sheetId="8" r:id="rId5"/>
    <sheet name="PPE-ENA Offer" sheetId="9" r:id="rId6"/>
    <sheet name="Cedar Brakes" sheetId="7" r:id="rId7"/>
  </sheets>
  <externalReferences>
    <externalReference r:id="rId8"/>
    <externalReference r:id="rId9"/>
    <externalReference r:id="rId10"/>
    <externalReference r:id="rId11"/>
    <externalReference r:id="rId12"/>
    <externalReference r:id="rId13"/>
  </externalReferences>
  <definedNames>
    <definedName name="\P">#REF!</definedName>
    <definedName name="_Table1_In1" hidden="1">#REF!</definedName>
    <definedName name="BegDate">[1]MAIN!$C$7</definedName>
    <definedName name="Book_Basis_Plant1" localSheetId="0">[2]Assumptions!$J$26</definedName>
    <definedName name="Book_Basis_Plant1">[3]Assumptions!$J$26</definedName>
    <definedName name="Book_Basis_Plant2" localSheetId="0">[2]Assumptions!$K$26</definedName>
    <definedName name="Book_Basis_Plant2">[3]Assumptions!$K$26</definedName>
    <definedName name="Book_Basis_Plant3" localSheetId="0">[2]Assumptions!$L$26</definedName>
    <definedName name="Book_Basis_Plant3">[3]Assumptions!$L$26</definedName>
    <definedName name="CC">#REF!</definedName>
    <definedName name="Choices_Wrapper" localSheetId="3">'Brazos'' i Adjustment'!Choices_Wrapper</definedName>
    <definedName name="Choices_Wrapper" localSheetId="0">Summary!Choices_Wrapper</definedName>
    <definedName name="Choices_Wrapper">[0]!Choices_Wrapper</definedName>
    <definedName name="Coal_Esc" localSheetId="0">[2]Assumptions!$F$25</definedName>
    <definedName name="Coal_Esc">[3]Assumptions!$F$25</definedName>
    <definedName name="Com_OpDate_1" localSheetId="0">'[2]Summary &amp; Control'!$D$41</definedName>
    <definedName name="Com_OpDate_1">'[3]Summary &amp; Control'!$D$41</definedName>
    <definedName name="Com_OpDate_2" localSheetId="0">'[2]Summary &amp; Control'!$E$41</definedName>
    <definedName name="Com_OpDate_2">'[3]Summary &amp; Control'!$E$41</definedName>
    <definedName name="Com_OpDate_3" localSheetId="0">'[2]Summary &amp; Control'!$F$41</definedName>
    <definedName name="Com_OpDate_3">'[3]Summary &amp; Control'!$F$41</definedName>
    <definedName name="DateToday">[4]MAIN!$C$2</definedName>
    <definedName name="Disc_Rate_Base" localSheetId="0">[2]Assumptions!$L$7</definedName>
    <definedName name="Disc_Rate_Base">[3]Assumptions!$L$7</definedName>
    <definedName name="Disc_Rate_Restruct" localSheetId="0">[2]Assumptions!$R$20</definedName>
    <definedName name="Disc_Rate_Restruct">[3]Assumptions!$R$20</definedName>
    <definedName name="Dispatch_Plant1" localSheetId="0">[2]Assumptions!$F$81</definedName>
    <definedName name="Dispatch_Plant1">[3]Assumptions!$F$81</definedName>
    <definedName name="Dispatch_Plant2" localSheetId="0">[2]Assumptions!$L$81</definedName>
    <definedName name="Dispatch_Plant2">[3]Assumptions!$L$81</definedName>
    <definedName name="Dispatch_Plant3" localSheetId="0">[2]Assumptions!$R$81</definedName>
    <definedName name="Dispatch_Plant3">[3]Assumptions!$R$81</definedName>
    <definedName name="driftswitch">#REF!</definedName>
    <definedName name="EndDate">[1]MAIN!$C$8</definedName>
    <definedName name="EXP">#REF!</definedName>
    <definedName name="Gas_Esc" localSheetId="0">[2]Assumptions!$F$26</definedName>
    <definedName name="Gas_Esc">[3]Assumptions!$F$26</definedName>
    <definedName name="GasSwitch">#REF!</definedName>
    <definedName name="INT">#REF!</definedName>
    <definedName name="Int_Rate_NewDebt" localSheetId="0">[2]Assumptions!$F$21</definedName>
    <definedName name="Int_Rate_NewDebt">[3]Assumptions!$F$21</definedName>
    <definedName name="Master_Check" localSheetId="0">'[2]Summary &amp; Control'!$W$1</definedName>
    <definedName name="Master_Check">'[3]Summary &amp; Control'!$W$1</definedName>
    <definedName name="OilSwitch">#REF!</definedName>
    <definedName name="Outages_Plant1" localSheetId="0">[2]Assumptions!$F$82</definedName>
    <definedName name="Outages_Plant1">[3]Assumptions!$F$82</definedName>
    <definedName name="Outages_Plant2" localSheetId="0">[2]Assumptions!$L$82</definedName>
    <definedName name="Outages_Plant2">[3]Assumptions!$L$82</definedName>
    <definedName name="Outages_Plant3" localSheetId="0">[2]Assumptions!$R$82</definedName>
    <definedName name="Outages_Plant3">[3]Assumptions!$R$82</definedName>
    <definedName name="Ownership_Plant1" localSheetId="0">'[2]Summary &amp; Control'!$D$49</definedName>
    <definedName name="Ownership_Plant1">'[3]Summary &amp; Control'!$D$49</definedName>
    <definedName name="Ownership_Plant2" localSheetId="0">'[2]Summary &amp; Control'!$E$49</definedName>
    <definedName name="Ownership_Plant2">'[3]Summary &amp; Control'!$E$49</definedName>
    <definedName name="Ownership_Plant3" localSheetId="0">'[2]Summary &amp; Control'!$F$49</definedName>
    <definedName name="Ownership_Plant3">'[3]Summary &amp; Control'!$F$49</definedName>
    <definedName name="PAGE1">#REF!</definedName>
    <definedName name="PAGE10">#REF!</definedName>
    <definedName name="PAGE11">#REF!</definedName>
    <definedName name="PAGE12">#REF!</definedName>
    <definedName name="PAGE14">#REF!</definedName>
    <definedName name="PAGE15">#REF!</definedName>
    <definedName name="PAGE1A">#REF!</definedName>
    <definedName name="PAGE2">#REF!</definedName>
    <definedName name="PAGE3">#REF!</definedName>
    <definedName name="PAGE4">#REF!</definedName>
    <definedName name="PAGE5">#REF!</definedName>
    <definedName name="PAGE6">#REF!</definedName>
    <definedName name="PAGE7">#REF!</definedName>
    <definedName name="PAGE8">#REF!</definedName>
    <definedName name="PAGE9">#REF!</definedName>
    <definedName name="PAGET1">#REF!</definedName>
    <definedName name="PAGET2">#REF!</definedName>
    <definedName name="PAGET3">#REF!</definedName>
    <definedName name="PAGET4">#REF!</definedName>
    <definedName name="Plant1" localSheetId="0">'[2]Summary &amp; Control'!$D$39</definedName>
    <definedName name="Plant1">'[3]Summary &amp; Control'!$D$39</definedName>
    <definedName name="Plant1_Toggle" localSheetId="0">'[2]Summary &amp; Control'!$D$48</definedName>
    <definedName name="Plant1_Toggle">'[3]Summary &amp; Control'!$D$48</definedName>
    <definedName name="Plant2" localSheetId="0">'[2]Summary &amp; Control'!$E$39</definedName>
    <definedName name="Plant2">'[3]Summary &amp; Control'!$E$39</definedName>
    <definedName name="Plant2_Toggle" localSheetId="0">'[2]Summary &amp; Control'!$E$48</definedName>
    <definedName name="Plant2_Toggle">'[3]Summary &amp; Control'!$E$48</definedName>
    <definedName name="Plant3" localSheetId="0">'[2]Summary &amp; Control'!$F$39</definedName>
    <definedName name="Plant3">'[3]Summary &amp; Control'!$F$39</definedName>
    <definedName name="Plant3_Toggle" localSheetId="0">'[2]Summary &amp; Control'!$F$48</definedName>
    <definedName name="Plant3_Toggle">'[3]Summary &amp; Control'!$F$48</definedName>
    <definedName name="Plants_Purchased" localSheetId="0">'[2]Summary &amp; Control'!$W$4</definedName>
    <definedName name="Plants_Purchased">'[3]Summary &amp; Control'!$W$4</definedName>
    <definedName name="PRINC">#REF!</definedName>
    <definedName name="_xlnm.Print_Area" localSheetId="3">'Brazos'' i Adjustment'!$A$1:$Z$55</definedName>
    <definedName name="_xlnm.Print_Area" localSheetId="6">'Cedar Brakes'!$A$1:$J$46</definedName>
    <definedName name="_xlnm.Print_Area" localSheetId="1">'Damage Calculations'!$A$1:$AC$81</definedName>
    <definedName name="_xlnm.Print_Area" localSheetId="4">'Offer Comparison'!$A$1:$K$43</definedName>
    <definedName name="_xlnm.Print_Area" localSheetId="0">Summary!$A$1:$S$71</definedName>
    <definedName name="_xlnm.Print_Area" localSheetId="2">'Tenaska''s i Adjustment'!$A$1:$Z$55</definedName>
    <definedName name="_xlnm.Print_Titles" localSheetId="4">'Offer Comparison'!$6:$7</definedName>
    <definedName name="Restruct_Yr" localSheetId="0">[2]Assumptions!$R$13</definedName>
    <definedName name="Restruct_Yr">[3]Assumptions!$R$13</definedName>
    <definedName name="Seller" localSheetId="0">[2]Assumptions!$L$8</definedName>
    <definedName name="Seller">[3]Assumptions!$L$8</definedName>
    <definedName name="shiftswitch2">#REF!</definedName>
    <definedName name="SUMMAR">#REF!</definedName>
    <definedName name="Tax_Basis_Plant1" localSheetId="0">[2]Assumptions!$J$25</definedName>
    <definedName name="Tax_Basis_Plant1">[3]Assumptions!$J$25</definedName>
    <definedName name="Tax_Basis_Plant2" localSheetId="0">[2]Assumptions!$K$25</definedName>
    <definedName name="Tax_Basis_Plant2">[3]Assumptions!$K$25</definedName>
    <definedName name="Tax_Basis_Plant3" localSheetId="0">[2]Assumptions!$L$25</definedName>
    <definedName name="Tax_Basis_Plant3">[3]Assumptions!$L$25</definedName>
    <definedName name="Tax_Rate_Fed" localSheetId="0">[2]Assumptions!$K$31</definedName>
    <definedName name="Tax_Rate_Fed">[3]Assumptions!$K$31</definedName>
    <definedName name="Tax_Rate_State1" localSheetId="0">[2]Assumptions!$J$34</definedName>
    <definedName name="Tax_Rate_State1">[3]Assumptions!$J$34</definedName>
    <definedName name="Tax_Rate_State2" localSheetId="0">[2]Assumptions!$K$34</definedName>
    <definedName name="Tax_Rate_State2">[3]Assumptions!$K$34</definedName>
    <definedName name="Tax_Rate_State3" localSheetId="0">[2]Assumptions!$L$34</definedName>
    <definedName name="Tax_Rate_State3">[3]Assumptions!$L$34</definedName>
    <definedName name="Terminal_Yr_Plant1" localSheetId="0">'[2]Summary &amp; Control'!$D$50</definedName>
    <definedName name="Terminal_Yr_Plant1">'[3]Summary &amp; Control'!$D$50</definedName>
    <definedName name="Terminal_Yr_Plant2" localSheetId="0">'[2]Summary &amp; Control'!$E$50</definedName>
    <definedName name="Terminal_Yr_Plant2">'[3]Summary &amp; Control'!$E$50</definedName>
    <definedName name="Terminal_Yr_Plant3" localSheetId="0">'[2]Summary &amp; Control'!$F$50</definedName>
    <definedName name="Terminal_Yr_Plant3">'[3]Summary &amp; Control'!$F$50</definedName>
  </definedNames>
  <calcPr calcId="191029" calcMode="manual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8" i="3" l="1"/>
  <c r="G77" i="3" s="1"/>
  <c r="H77" i="3" s="1"/>
  <c r="I77" i="3" s="1"/>
  <c r="J77" i="3" s="1"/>
  <c r="K77" i="3" s="1"/>
  <c r="B54" i="6"/>
  <c r="C54" i="6" s="1"/>
  <c r="D11" i="6"/>
  <c r="E11" i="6"/>
  <c r="F11" i="6"/>
  <c r="F12" i="6" s="1"/>
  <c r="G12" i="6"/>
  <c r="H12" i="6"/>
  <c r="I12" i="6"/>
  <c r="J12" i="6"/>
  <c r="K12" i="6"/>
  <c r="L12" i="6"/>
  <c r="M12" i="6"/>
  <c r="N12" i="6"/>
  <c r="O12" i="6"/>
  <c r="P12" i="6"/>
  <c r="Q12" i="6"/>
  <c r="R12" i="6"/>
  <c r="S12" i="6"/>
  <c r="T12" i="6"/>
  <c r="U12" i="6"/>
  <c r="V12" i="6"/>
  <c r="W12" i="6"/>
  <c r="X12" i="6"/>
  <c r="Y12" i="6"/>
  <c r="Z12" i="6"/>
  <c r="G13" i="6"/>
  <c r="H13" i="6"/>
  <c r="I13" i="6"/>
  <c r="J13" i="6"/>
  <c r="K13" i="6"/>
  <c r="L13" i="6"/>
  <c r="M13" i="6"/>
  <c r="N13" i="6"/>
  <c r="O13" i="6"/>
  <c r="P13" i="6"/>
  <c r="Q13" i="6"/>
  <c r="R13" i="6"/>
  <c r="S13" i="6"/>
  <c r="T13" i="6"/>
  <c r="U13" i="6"/>
  <c r="V13" i="6"/>
  <c r="W13" i="6"/>
  <c r="X13" i="6"/>
  <c r="Y13" i="6"/>
  <c r="Z13" i="6"/>
  <c r="D14" i="6"/>
  <c r="G14" i="6"/>
  <c r="H14" i="6"/>
  <c r="I14" i="6"/>
  <c r="J14" i="6"/>
  <c r="K14" i="6"/>
  <c r="L14" i="6"/>
  <c r="M14" i="6"/>
  <c r="N14" i="6"/>
  <c r="O14" i="6"/>
  <c r="P14" i="6"/>
  <c r="Q14" i="6"/>
  <c r="R14" i="6"/>
  <c r="T14" i="6"/>
  <c r="U14" i="6"/>
  <c r="V14" i="6"/>
  <c r="W14" i="6"/>
  <c r="X14" i="6"/>
  <c r="Y14" i="6"/>
  <c r="Z14" i="6"/>
  <c r="D15" i="6"/>
  <c r="G15" i="6"/>
  <c r="H15" i="6"/>
  <c r="I15" i="6"/>
  <c r="J15" i="6"/>
  <c r="K15" i="6"/>
  <c r="L15" i="6"/>
  <c r="M15" i="6"/>
  <c r="N15" i="6"/>
  <c r="O15" i="6"/>
  <c r="P15" i="6"/>
  <c r="Q15" i="6"/>
  <c r="R15" i="6"/>
  <c r="T15" i="6"/>
  <c r="U15" i="6"/>
  <c r="V15" i="6"/>
  <c r="W15" i="6"/>
  <c r="X15" i="6"/>
  <c r="Y15" i="6"/>
  <c r="Z15" i="6"/>
  <c r="D17" i="6"/>
  <c r="D18" i="6"/>
  <c r="D19" i="6" s="1"/>
  <c r="D20" i="6" s="1"/>
  <c r="E17" i="6" s="1"/>
  <c r="D24" i="6"/>
  <c r="E24" i="6"/>
  <c r="F24" i="6"/>
  <c r="G24" i="6"/>
  <c r="H24" i="6"/>
  <c r="I24" i="6"/>
  <c r="J24" i="6"/>
  <c r="K24" i="6"/>
  <c r="L24" i="6"/>
  <c r="M24" i="6"/>
  <c r="N24" i="6"/>
  <c r="O24" i="6"/>
  <c r="P24" i="6"/>
  <c r="Q24" i="6"/>
  <c r="R24" i="6"/>
  <c r="T24" i="6"/>
  <c r="U24" i="6"/>
  <c r="V24" i="6"/>
  <c r="W24" i="6"/>
  <c r="X24" i="6"/>
  <c r="Y24" i="6"/>
  <c r="Z24" i="6"/>
  <c r="D25" i="6"/>
  <c r="E25" i="6"/>
  <c r="F25" i="6"/>
  <c r="G25" i="6"/>
  <c r="H25" i="6"/>
  <c r="I25" i="6"/>
  <c r="J25" i="6"/>
  <c r="K25" i="6"/>
  <c r="L25" i="6"/>
  <c r="M25" i="6"/>
  <c r="N25" i="6"/>
  <c r="O25" i="6"/>
  <c r="P25" i="6"/>
  <c r="Q25" i="6"/>
  <c r="R25" i="6"/>
  <c r="T25" i="6"/>
  <c r="U25" i="6"/>
  <c r="V25" i="6"/>
  <c r="W25" i="6"/>
  <c r="X25" i="6"/>
  <c r="Y25" i="6"/>
  <c r="Z25" i="6"/>
  <c r="D26" i="6"/>
  <c r="E26" i="6"/>
  <c r="F26" i="6"/>
  <c r="G26" i="6"/>
  <c r="H26" i="6"/>
  <c r="I26" i="6"/>
  <c r="J26" i="6"/>
  <c r="K26" i="6"/>
  <c r="L26" i="6"/>
  <c r="M26" i="6"/>
  <c r="N26" i="6"/>
  <c r="O26" i="6"/>
  <c r="P26" i="6"/>
  <c r="Q26" i="6"/>
  <c r="R26" i="6"/>
  <c r="S26" i="6"/>
  <c r="T26" i="6"/>
  <c r="U26" i="6"/>
  <c r="V26" i="6"/>
  <c r="W26" i="6"/>
  <c r="X26" i="6"/>
  <c r="Y26" i="6"/>
  <c r="Z26" i="6"/>
  <c r="D27" i="6"/>
  <c r="E27" i="6"/>
  <c r="F27" i="6"/>
  <c r="G27" i="6"/>
  <c r="H27" i="6"/>
  <c r="I27" i="6"/>
  <c r="J27" i="6"/>
  <c r="K27" i="6"/>
  <c r="L27" i="6"/>
  <c r="M27" i="6"/>
  <c r="N27" i="6"/>
  <c r="O27" i="6"/>
  <c r="P27" i="6"/>
  <c r="Q27" i="6"/>
  <c r="R27" i="6"/>
  <c r="S27" i="6"/>
  <c r="T27" i="6"/>
  <c r="U27" i="6"/>
  <c r="V27" i="6"/>
  <c r="W27" i="6"/>
  <c r="X27" i="6"/>
  <c r="Y27" i="6"/>
  <c r="Z27" i="6"/>
  <c r="D29" i="6"/>
  <c r="C39" i="6"/>
  <c r="D45" i="6"/>
  <c r="E45" i="6"/>
  <c r="F45" i="6"/>
  <c r="G45" i="6"/>
  <c r="H45" i="6"/>
  <c r="I45" i="6"/>
  <c r="J45" i="6"/>
  <c r="K45" i="6"/>
  <c r="L45" i="6"/>
  <c r="M45" i="6"/>
  <c r="N45" i="6"/>
  <c r="O45" i="6"/>
  <c r="P45" i="6"/>
  <c r="Q45" i="6"/>
  <c r="R45" i="6"/>
  <c r="S45" i="6"/>
  <c r="T45" i="6"/>
  <c r="U45" i="6"/>
  <c r="V45" i="6"/>
  <c r="W45" i="6"/>
  <c r="X45" i="6"/>
  <c r="Y45" i="6"/>
  <c r="Z45" i="6"/>
  <c r="D27" i="7"/>
  <c r="G27" i="7" s="1"/>
  <c r="F27" i="7"/>
  <c r="I27" i="7"/>
  <c r="A28" i="7"/>
  <c r="A29" i="7" s="1"/>
  <c r="A30" i="7" s="1"/>
  <c r="A31" i="7" s="1"/>
  <c r="A32" i="7" s="1"/>
  <c r="A33" i="7" s="1"/>
  <c r="A34" i="7" s="1"/>
  <c r="A35" i="7" s="1"/>
  <c r="A36" i="7" s="1"/>
  <c r="A37" i="7" s="1"/>
  <c r="A38" i="7" s="1"/>
  <c r="A39" i="7" s="1"/>
  <c r="A40" i="7" s="1"/>
  <c r="D28" i="7"/>
  <c r="J28" i="7" s="1"/>
  <c r="F28" i="7"/>
  <c r="I28" i="7"/>
  <c r="D29" i="7"/>
  <c r="F29" i="7"/>
  <c r="G29" i="7"/>
  <c r="I29" i="7"/>
  <c r="D30" i="7"/>
  <c r="F30" i="7"/>
  <c r="I30" i="7"/>
  <c r="D31" i="7"/>
  <c r="F31" i="7"/>
  <c r="G31" i="7"/>
  <c r="I31" i="7"/>
  <c r="J31" i="7"/>
  <c r="D32" i="7"/>
  <c r="F32" i="7"/>
  <c r="I32" i="7"/>
  <c r="J32" i="7" s="1"/>
  <c r="D33" i="7"/>
  <c r="G33" i="7" s="1"/>
  <c r="F33" i="7"/>
  <c r="I33" i="7"/>
  <c r="D34" i="7"/>
  <c r="G34" i="7" s="1"/>
  <c r="F34" i="7"/>
  <c r="I34" i="7"/>
  <c r="D35" i="7"/>
  <c r="F35" i="7"/>
  <c r="G35" i="7" s="1"/>
  <c r="I35" i="7"/>
  <c r="J35" i="7"/>
  <c r="D36" i="7"/>
  <c r="J36" i="7" s="1"/>
  <c r="F36" i="7"/>
  <c r="I36" i="7"/>
  <c r="D37" i="7"/>
  <c r="F37" i="7"/>
  <c r="G37" i="7"/>
  <c r="I37" i="7"/>
  <c r="D38" i="7"/>
  <c r="F38" i="7"/>
  <c r="I38" i="7"/>
  <c r="D39" i="7"/>
  <c r="G39" i="7" s="1"/>
  <c r="F39" i="7"/>
  <c r="I39" i="7"/>
  <c r="D40" i="7"/>
  <c r="G40" i="7" s="1"/>
  <c r="F40" i="7"/>
  <c r="I40" i="7"/>
  <c r="F9" i="3"/>
  <c r="A81" i="3" s="1"/>
  <c r="C32" i="3"/>
  <c r="C33" i="3"/>
  <c r="N33" i="3" s="1"/>
  <c r="K33" i="3"/>
  <c r="H36" i="3"/>
  <c r="H63" i="3" s="1"/>
  <c r="G45" i="3"/>
  <c r="H45" i="3"/>
  <c r="I45" i="3"/>
  <c r="J45" i="3"/>
  <c r="K45" i="3"/>
  <c r="L45" i="3"/>
  <c r="M45" i="3"/>
  <c r="N45" i="3"/>
  <c r="O45" i="3"/>
  <c r="P45" i="3"/>
  <c r="Q45" i="3"/>
  <c r="R45" i="3"/>
  <c r="S45" i="3"/>
  <c r="T45" i="3"/>
  <c r="U45" i="3"/>
  <c r="V45" i="3"/>
  <c r="W45" i="3"/>
  <c r="X45" i="3"/>
  <c r="Y45" i="3"/>
  <c r="Z45" i="3"/>
  <c r="AA45" i="3"/>
  <c r="AB45" i="3"/>
  <c r="AC45" i="3"/>
  <c r="C46" i="3"/>
  <c r="C47" i="3"/>
  <c r="K47" i="3" s="1"/>
  <c r="I47" i="3"/>
  <c r="G48" i="3"/>
  <c r="G74" i="3" s="1"/>
  <c r="H48" i="3"/>
  <c r="I48" i="3"/>
  <c r="I74" i="3" s="1"/>
  <c r="J48" i="3"/>
  <c r="J74" i="3" s="1"/>
  <c r="K48" i="3"/>
  <c r="L48" i="3"/>
  <c r="M48" i="3"/>
  <c r="M74" i="3" s="1"/>
  <c r="N48" i="3"/>
  <c r="O48" i="3"/>
  <c r="P48" i="3"/>
  <c r="Q48" i="3"/>
  <c r="R48" i="3"/>
  <c r="R74" i="3" s="1"/>
  <c r="S48" i="3"/>
  <c r="S74" i="3" s="1"/>
  <c r="T48" i="3"/>
  <c r="T74" i="3" s="1"/>
  <c r="U48" i="3"/>
  <c r="U74" i="3" s="1"/>
  <c r="V48" i="3"/>
  <c r="V74" i="3" s="1"/>
  <c r="W48" i="3"/>
  <c r="W74" i="3" s="1"/>
  <c r="X48" i="3"/>
  <c r="Y48" i="3"/>
  <c r="Y74" i="3" s="1"/>
  <c r="Z48" i="3"/>
  <c r="Z74" i="3" s="1"/>
  <c r="AA48" i="3"/>
  <c r="AA74" i="3" s="1"/>
  <c r="AB48" i="3"/>
  <c r="AB74" i="3" s="1"/>
  <c r="AC48" i="3"/>
  <c r="AC74" i="3" s="1"/>
  <c r="G50" i="3"/>
  <c r="G76" i="3" s="1"/>
  <c r="G58" i="3"/>
  <c r="H58" i="3"/>
  <c r="I58" i="3"/>
  <c r="J58" i="3"/>
  <c r="K58" i="3"/>
  <c r="L58" i="3"/>
  <c r="M58" i="3"/>
  <c r="N58" i="3"/>
  <c r="O58" i="3"/>
  <c r="P58" i="3"/>
  <c r="Q58" i="3"/>
  <c r="R58" i="3"/>
  <c r="S58" i="3"/>
  <c r="T58" i="3"/>
  <c r="U58" i="3"/>
  <c r="V58" i="3"/>
  <c r="W58" i="3"/>
  <c r="X58" i="3"/>
  <c r="Y58" i="3"/>
  <c r="Z58" i="3"/>
  <c r="AA58" i="3"/>
  <c r="AB58" i="3"/>
  <c r="AC58" i="3"/>
  <c r="C59" i="3"/>
  <c r="C60" i="3"/>
  <c r="K60" i="3" s="1"/>
  <c r="H60" i="3"/>
  <c r="G61" i="3"/>
  <c r="H61" i="3"/>
  <c r="I61" i="3"/>
  <c r="J61" i="3"/>
  <c r="K61" i="3"/>
  <c r="L61" i="3"/>
  <c r="M61" i="3"/>
  <c r="N61" i="3"/>
  <c r="O61" i="3"/>
  <c r="P61" i="3"/>
  <c r="Q61" i="3"/>
  <c r="R61" i="3"/>
  <c r="S61" i="3"/>
  <c r="T61" i="3"/>
  <c r="U61" i="3"/>
  <c r="V61" i="3"/>
  <c r="W61" i="3"/>
  <c r="X61" i="3"/>
  <c r="Y61" i="3"/>
  <c r="Z61" i="3"/>
  <c r="AA61" i="3"/>
  <c r="AB61" i="3"/>
  <c r="AC61" i="3"/>
  <c r="G63" i="3"/>
  <c r="C72" i="3"/>
  <c r="C73" i="3"/>
  <c r="R73" i="3" s="1"/>
  <c r="H74" i="3"/>
  <c r="K74" i="3"/>
  <c r="L74" i="3"/>
  <c r="N74" i="3"/>
  <c r="O74" i="3"/>
  <c r="P74" i="3"/>
  <c r="Q74" i="3"/>
  <c r="X74" i="3"/>
  <c r="C10" i="8"/>
  <c r="C11" i="8"/>
  <c r="J11" i="8"/>
  <c r="F12" i="8"/>
  <c r="F14" i="8" s="1"/>
  <c r="J12" i="8"/>
  <c r="C13" i="8"/>
  <c r="B19" i="8"/>
  <c r="C33" i="8"/>
  <c r="F38" i="8"/>
  <c r="H38" i="8"/>
  <c r="H40" i="8" s="1"/>
  <c r="H42" i="8" s="1"/>
  <c r="J38" i="8"/>
  <c r="J40" i="8" s="1"/>
  <c r="J42" i="8" s="1"/>
  <c r="G12" i="5"/>
  <c r="I64" i="5" s="1"/>
  <c r="B23" i="5"/>
  <c r="G23" i="5"/>
  <c r="G30" i="5" s="1"/>
  <c r="I23" i="5"/>
  <c r="I30" i="5" s="1"/>
  <c r="K23" i="5"/>
  <c r="K30" i="5" s="1"/>
  <c r="M23" i="5"/>
  <c r="M30" i="5" s="1"/>
  <c r="I26" i="5"/>
  <c r="B55" i="5"/>
  <c r="K64" i="5"/>
  <c r="M64" i="5"/>
  <c r="O64" i="5"/>
  <c r="D11" i="1"/>
  <c r="D15" i="1" s="1"/>
  <c r="E11" i="1"/>
  <c r="E12" i="1" s="1"/>
  <c r="F11" i="1"/>
  <c r="F15" i="1" s="1"/>
  <c r="G12" i="1"/>
  <c r="H12" i="1"/>
  <c r="I12" i="1"/>
  <c r="J12" i="1"/>
  <c r="K12" i="1"/>
  <c r="L12" i="1"/>
  <c r="M12" i="1"/>
  <c r="N12" i="1"/>
  <c r="O12" i="1"/>
  <c r="P12" i="1"/>
  <c r="Q12" i="1"/>
  <c r="R12" i="1"/>
  <c r="S12" i="1"/>
  <c r="T12" i="1"/>
  <c r="U12" i="1"/>
  <c r="V12" i="1"/>
  <c r="W12" i="1"/>
  <c r="X12" i="1"/>
  <c r="Y12" i="1"/>
  <c r="Z12" i="1"/>
  <c r="E13" i="1"/>
  <c r="G13" i="1"/>
  <c r="H13" i="1"/>
  <c r="I13" i="1"/>
  <c r="J13" i="1"/>
  <c r="K13" i="1"/>
  <c r="L13" i="1"/>
  <c r="M13" i="1"/>
  <c r="N13" i="1"/>
  <c r="O13" i="1"/>
  <c r="P13" i="1"/>
  <c r="Q13" i="1"/>
  <c r="R13" i="1"/>
  <c r="S13" i="1"/>
  <c r="T13" i="1"/>
  <c r="U13" i="1"/>
  <c r="V13" i="1"/>
  <c r="W13" i="1"/>
  <c r="X13" i="1"/>
  <c r="Y13" i="1"/>
  <c r="Z13" i="1"/>
  <c r="E14" i="1"/>
  <c r="G14" i="1"/>
  <c r="H14" i="1"/>
  <c r="I14" i="1"/>
  <c r="J14" i="1"/>
  <c r="K14" i="1"/>
  <c r="L14" i="1"/>
  <c r="M14" i="1"/>
  <c r="N14" i="1"/>
  <c r="O14" i="1"/>
  <c r="P14" i="1"/>
  <c r="Q14" i="1"/>
  <c r="R14" i="1"/>
  <c r="T14" i="1"/>
  <c r="U14" i="1"/>
  <c r="V14" i="1"/>
  <c r="W14" i="1"/>
  <c r="X14" i="1"/>
  <c r="Y14" i="1"/>
  <c r="Z14" i="1"/>
  <c r="E15" i="1"/>
  <c r="G15" i="1"/>
  <c r="H15" i="1"/>
  <c r="I15" i="1"/>
  <c r="J15" i="1"/>
  <c r="K15" i="1"/>
  <c r="L15" i="1"/>
  <c r="M15" i="1"/>
  <c r="N15" i="1"/>
  <c r="O15" i="1"/>
  <c r="P15" i="1"/>
  <c r="Q15" i="1"/>
  <c r="R15" i="1"/>
  <c r="T15" i="1"/>
  <c r="U15" i="1"/>
  <c r="V15" i="1"/>
  <c r="W15" i="1"/>
  <c r="X15" i="1"/>
  <c r="Y15" i="1"/>
  <c r="Z15" i="1"/>
  <c r="D17" i="1"/>
  <c r="D35" i="1" s="1"/>
  <c r="D24" i="1"/>
  <c r="D30" i="1" s="1"/>
  <c r="E24" i="1"/>
  <c r="F24" i="1"/>
  <c r="G24" i="1"/>
  <c r="H24" i="1"/>
  <c r="I24" i="1"/>
  <c r="J24" i="1"/>
  <c r="K24" i="1"/>
  <c r="L24" i="1"/>
  <c r="M24" i="1"/>
  <c r="N24" i="1"/>
  <c r="O24" i="1"/>
  <c r="P24" i="1"/>
  <c r="Q24" i="1"/>
  <c r="R24" i="1"/>
  <c r="T24" i="1"/>
  <c r="U24" i="1"/>
  <c r="V24" i="1"/>
  <c r="W24" i="1"/>
  <c r="X24" i="1"/>
  <c r="Y24" i="1"/>
  <c r="Z24" i="1"/>
  <c r="D25" i="1"/>
  <c r="E25" i="1"/>
  <c r="F25" i="1"/>
  <c r="G25" i="1"/>
  <c r="H25" i="1"/>
  <c r="I25" i="1"/>
  <c r="J25" i="1"/>
  <c r="K25" i="1"/>
  <c r="L25" i="1"/>
  <c r="M25" i="1"/>
  <c r="N25" i="1"/>
  <c r="O25" i="1"/>
  <c r="P25" i="1"/>
  <c r="Q25" i="1"/>
  <c r="R25" i="1"/>
  <c r="T25" i="1"/>
  <c r="U25" i="1"/>
  <c r="V25" i="1"/>
  <c r="W25" i="1"/>
  <c r="X25" i="1"/>
  <c r="Y25" i="1"/>
  <c r="Z25" i="1"/>
  <c r="D26" i="1"/>
  <c r="E26" i="1"/>
  <c r="F26" i="1"/>
  <c r="G26" i="1"/>
  <c r="H26" i="1"/>
  <c r="I26" i="1"/>
  <c r="J26" i="1"/>
  <c r="K26" i="1"/>
  <c r="L26" i="1"/>
  <c r="M26" i="1"/>
  <c r="N26" i="1"/>
  <c r="O26" i="1"/>
  <c r="P26" i="1"/>
  <c r="Q26" i="1"/>
  <c r="R26" i="1"/>
  <c r="S26" i="1"/>
  <c r="T26" i="1"/>
  <c r="U26" i="1"/>
  <c r="V26" i="1"/>
  <c r="W26" i="1"/>
  <c r="X26" i="1"/>
  <c r="Y26" i="1"/>
  <c r="Z26" i="1"/>
  <c r="D27" i="1"/>
  <c r="E27" i="1"/>
  <c r="F27" i="1"/>
  <c r="G27" i="1"/>
  <c r="H27" i="1"/>
  <c r="I27" i="1"/>
  <c r="J27" i="1"/>
  <c r="K27" i="1"/>
  <c r="L27" i="1"/>
  <c r="M27" i="1"/>
  <c r="N27" i="1"/>
  <c r="O27" i="1"/>
  <c r="P27" i="1"/>
  <c r="Q27" i="1"/>
  <c r="R27" i="1"/>
  <c r="S27" i="1"/>
  <c r="T27" i="1"/>
  <c r="U27" i="1"/>
  <c r="V27" i="1"/>
  <c r="W27" i="1"/>
  <c r="X27" i="1"/>
  <c r="Y27" i="1"/>
  <c r="Z27" i="1"/>
  <c r="D29" i="1"/>
  <c r="C39" i="1"/>
  <c r="C54" i="1"/>
  <c r="J33" i="3" l="1"/>
  <c r="P73" i="3"/>
  <c r="M73" i="3"/>
  <c r="G73" i="3"/>
  <c r="V60" i="3"/>
  <c r="U60" i="3"/>
  <c r="A41" i="3"/>
  <c r="A68" i="3"/>
  <c r="J40" i="7"/>
  <c r="J34" i="7"/>
  <c r="G15" i="7"/>
  <c r="G51" i="3"/>
  <c r="H51" i="3" s="1"/>
  <c r="I51" i="3" s="1"/>
  <c r="J51" i="3" s="1"/>
  <c r="J29" i="7"/>
  <c r="G64" i="3"/>
  <c r="H64" i="3" s="1"/>
  <c r="I64" i="3" s="1"/>
  <c r="AC47" i="3"/>
  <c r="X47" i="3"/>
  <c r="J39" i="7"/>
  <c r="V47" i="3"/>
  <c r="U47" i="3"/>
  <c r="AC60" i="3"/>
  <c r="T47" i="3"/>
  <c r="J27" i="7"/>
  <c r="AA60" i="3"/>
  <c r="M47" i="3"/>
  <c r="D14" i="1"/>
  <c r="X60" i="3"/>
  <c r="T60" i="3"/>
  <c r="G32" i="7"/>
  <c r="J37" i="7"/>
  <c r="B37" i="5"/>
  <c r="U73" i="3"/>
  <c r="L60" i="3"/>
  <c r="S33" i="3"/>
  <c r="F14" i="6"/>
  <c r="F13" i="6"/>
  <c r="S60" i="3"/>
  <c r="P60" i="3"/>
  <c r="B46" i="5"/>
  <c r="Z73" i="3"/>
  <c r="M60" i="3"/>
  <c r="X33" i="3"/>
  <c r="F15" i="6"/>
  <c r="G37" i="3"/>
  <c r="H37" i="3" s="1"/>
  <c r="I37" i="3" s="1"/>
  <c r="D31" i="1"/>
  <c r="D18" i="1"/>
  <c r="D19" i="1" s="1"/>
  <c r="D20" i="1" s="1"/>
  <c r="E17" i="1" s="1"/>
  <c r="E18" i="1" s="1"/>
  <c r="E19" i="1" s="1"/>
  <c r="E20" i="1" s="1"/>
  <c r="F17" i="1" s="1"/>
  <c r="F14" i="1"/>
  <c r="F12" i="1"/>
  <c r="F13" i="1"/>
  <c r="L77" i="3"/>
  <c r="E14" i="6"/>
  <c r="E12" i="6"/>
  <c r="E13" i="6"/>
  <c r="E15" i="6"/>
  <c r="I73" i="3"/>
  <c r="Q73" i="3"/>
  <c r="Y73" i="3"/>
  <c r="K73" i="3"/>
  <c r="S73" i="3"/>
  <c r="AA73" i="3"/>
  <c r="L73" i="3"/>
  <c r="T73" i="3"/>
  <c r="AB73" i="3"/>
  <c r="O73" i="3"/>
  <c r="AC73" i="3"/>
  <c r="H73" i="3"/>
  <c r="V73" i="3"/>
  <c r="J73" i="3"/>
  <c r="W73" i="3"/>
  <c r="G30" i="7"/>
  <c r="J30" i="7"/>
  <c r="X73" i="3"/>
  <c r="N73" i="3"/>
  <c r="A42" i="3"/>
  <c r="A55" i="3"/>
  <c r="E18" i="6"/>
  <c r="J47" i="3"/>
  <c r="R47" i="3"/>
  <c r="Z47" i="3"/>
  <c r="N47" i="3"/>
  <c r="W47" i="3"/>
  <c r="G47" i="3"/>
  <c r="P47" i="3"/>
  <c r="Y47" i="3"/>
  <c r="H47" i="3"/>
  <c r="Q47" i="3"/>
  <c r="AA47" i="3"/>
  <c r="G60" i="3"/>
  <c r="O60" i="3"/>
  <c r="W60" i="3"/>
  <c r="I60" i="3"/>
  <c r="Q60" i="3"/>
  <c r="Y60" i="3"/>
  <c r="J60" i="3"/>
  <c r="R60" i="3"/>
  <c r="Z60" i="3"/>
  <c r="S47" i="3"/>
  <c r="I36" i="3"/>
  <c r="H50" i="3"/>
  <c r="H76" i="3" s="1"/>
  <c r="L33" i="3"/>
  <c r="T33" i="3"/>
  <c r="AB33" i="3"/>
  <c r="G33" i="3"/>
  <c r="O33" i="3"/>
  <c r="W33" i="3"/>
  <c r="I33" i="3"/>
  <c r="Q33" i="3"/>
  <c r="Y33" i="3"/>
  <c r="M33" i="3"/>
  <c r="Z33" i="3"/>
  <c r="P33" i="3"/>
  <c r="AC33" i="3"/>
  <c r="R33" i="3"/>
  <c r="H33" i="3"/>
  <c r="U33" i="3"/>
  <c r="G38" i="7"/>
  <c r="J38" i="7"/>
  <c r="G11" i="7"/>
  <c r="O47" i="3"/>
  <c r="AA33" i="3"/>
  <c r="AB60" i="3"/>
  <c r="N60" i="3"/>
  <c r="AB47" i="3"/>
  <c r="L47" i="3"/>
  <c r="V33" i="3"/>
  <c r="D30" i="6"/>
  <c r="D35" i="6"/>
  <c r="G10" i="7"/>
  <c r="G36" i="7"/>
  <c r="J33" i="7"/>
  <c r="G28" i="7"/>
  <c r="D36" i="1" l="1"/>
  <c r="J64" i="3"/>
  <c r="M77" i="3"/>
  <c r="J37" i="3"/>
  <c r="D31" i="6"/>
  <c r="D36" i="6"/>
  <c r="D32" i="1"/>
  <c r="D37" i="1"/>
  <c r="G14" i="7"/>
  <c r="G16" i="7" s="1"/>
  <c r="G12" i="7"/>
  <c r="E19" i="6"/>
  <c r="E20" i="6" s="1"/>
  <c r="F17" i="6" s="1"/>
  <c r="F18" i="6" s="1"/>
  <c r="F19" i="6" s="1"/>
  <c r="F20" i="6" s="1"/>
  <c r="G17" i="6" s="1"/>
  <c r="G18" i="6" s="1"/>
  <c r="G19" i="6" s="1"/>
  <c r="G20" i="6" s="1"/>
  <c r="H17" i="6" s="1"/>
  <c r="H18" i="6" s="1"/>
  <c r="H19" i="6" s="1"/>
  <c r="H20" i="6" s="1"/>
  <c r="I17" i="6" s="1"/>
  <c r="I18" i="6" s="1"/>
  <c r="I19" i="6" s="1"/>
  <c r="I20" i="6" s="1"/>
  <c r="J17" i="6" s="1"/>
  <c r="J18" i="6" s="1"/>
  <c r="J19" i="6" s="1"/>
  <c r="J20" i="6" s="1"/>
  <c r="K17" i="6" s="1"/>
  <c r="K18" i="6" s="1"/>
  <c r="K19" i="6" s="1"/>
  <c r="K20" i="6" s="1"/>
  <c r="L17" i="6" s="1"/>
  <c r="L18" i="6" s="1"/>
  <c r="L19" i="6" s="1"/>
  <c r="L20" i="6" s="1"/>
  <c r="M17" i="6" s="1"/>
  <c r="M18" i="6" s="1"/>
  <c r="M19" i="6" s="1"/>
  <c r="M20" i="6" s="1"/>
  <c r="N17" i="6" s="1"/>
  <c r="N18" i="6" s="1"/>
  <c r="N19" i="6" s="1"/>
  <c r="N20" i="6" s="1"/>
  <c r="O17" i="6" s="1"/>
  <c r="O18" i="6" s="1"/>
  <c r="O19" i="6" s="1"/>
  <c r="O20" i="6" s="1"/>
  <c r="P17" i="6" s="1"/>
  <c r="P18" i="6" s="1"/>
  <c r="P19" i="6" s="1"/>
  <c r="P20" i="6" s="1"/>
  <c r="Q17" i="6" s="1"/>
  <c r="Q18" i="6" s="1"/>
  <c r="Q19" i="6" s="1"/>
  <c r="Q20" i="6" s="1"/>
  <c r="R17" i="6" s="1"/>
  <c r="R18" i="6" s="1"/>
  <c r="R19" i="6" s="1"/>
  <c r="R20" i="6" s="1"/>
  <c r="S17" i="6" s="1"/>
  <c r="S18" i="6" s="1"/>
  <c r="S19" i="6" s="1"/>
  <c r="S20" i="6" s="1"/>
  <c r="T17" i="6" s="1"/>
  <c r="T18" i="6" s="1"/>
  <c r="T19" i="6" s="1"/>
  <c r="T20" i="6" s="1"/>
  <c r="U17" i="6" s="1"/>
  <c r="U18" i="6" s="1"/>
  <c r="U19" i="6" s="1"/>
  <c r="U20" i="6" s="1"/>
  <c r="V17" i="6" s="1"/>
  <c r="V18" i="6" s="1"/>
  <c r="V19" i="6" s="1"/>
  <c r="V20" i="6" s="1"/>
  <c r="W17" i="6" s="1"/>
  <c r="W18" i="6" s="1"/>
  <c r="W19" i="6" s="1"/>
  <c r="W20" i="6" s="1"/>
  <c r="X17" i="6" s="1"/>
  <c r="X18" i="6" s="1"/>
  <c r="X19" i="6" s="1"/>
  <c r="X20" i="6" s="1"/>
  <c r="Y17" i="6" s="1"/>
  <c r="Y18" i="6" s="1"/>
  <c r="Y19" i="6" s="1"/>
  <c r="Y20" i="6" s="1"/>
  <c r="Z17" i="6" s="1"/>
  <c r="Z18" i="6" s="1"/>
  <c r="Z19" i="6" s="1"/>
  <c r="Z20" i="6" s="1"/>
  <c r="J36" i="3"/>
  <c r="I50" i="3"/>
  <c r="I63" i="3"/>
  <c r="K51" i="3"/>
  <c r="F18" i="1"/>
  <c r="F19" i="1" s="1"/>
  <c r="F20" i="1" s="1"/>
  <c r="G17" i="1" s="1"/>
  <c r="G18" i="1" s="1"/>
  <c r="G19" i="1" s="1"/>
  <c r="G20" i="1" s="1"/>
  <c r="H17" i="1" s="1"/>
  <c r="H18" i="1" s="1"/>
  <c r="H19" i="1" s="1"/>
  <c r="H20" i="1" s="1"/>
  <c r="I17" i="1" s="1"/>
  <c r="I18" i="1" s="1"/>
  <c r="I19" i="1" s="1"/>
  <c r="I20" i="1" s="1"/>
  <c r="J17" i="1" s="1"/>
  <c r="J18" i="1" s="1"/>
  <c r="J19" i="1" s="1"/>
  <c r="J20" i="1" s="1"/>
  <c r="K17" i="1" s="1"/>
  <c r="K18" i="1" s="1"/>
  <c r="K19" i="1" s="1"/>
  <c r="K20" i="1" s="1"/>
  <c r="L17" i="1" s="1"/>
  <c r="L18" i="1" s="1"/>
  <c r="L19" i="1" s="1"/>
  <c r="L20" i="1" s="1"/>
  <c r="M17" i="1" s="1"/>
  <c r="M18" i="1" s="1"/>
  <c r="M19" i="1" s="1"/>
  <c r="M20" i="1" s="1"/>
  <c r="N17" i="1" s="1"/>
  <c r="N18" i="1" s="1"/>
  <c r="N19" i="1" s="1"/>
  <c r="N20" i="1" s="1"/>
  <c r="O17" i="1" s="1"/>
  <c r="O18" i="1" s="1"/>
  <c r="O19" i="1" s="1"/>
  <c r="O20" i="1" s="1"/>
  <c r="P17" i="1" s="1"/>
  <c r="P18" i="1" s="1"/>
  <c r="P19" i="1" s="1"/>
  <c r="P20" i="1" s="1"/>
  <c r="Q17" i="1" s="1"/>
  <c r="Q18" i="1" s="1"/>
  <c r="Q19" i="1" s="1"/>
  <c r="Q20" i="1" s="1"/>
  <c r="R17" i="1" s="1"/>
  <c r="R18" i="1" s="1"/>
  <c r="R19" i="1" s="1"/>
  <c r="R20" i="1" s="1"/>
  <c r="S17" i="1" s="1"/>
  <c r="S18" i="1" s="1"/>
  <c r="S19" i="1" s="1"/>
  <c r="S20" i="1" s="1"/>
  <c r="T17" i="1" s="1"/>
  <c r="T18" i="1" s="1"/>
  <c r="T19" i="1" s="1"/>
  <c r="T20" i="1" s="1"/>
  <c r="U17" i="1" s="1"/>
  <c r="U18" i="1" s="1"/>
  <c r="U19" i="1" s="1"/>
  <c r="U20" i="1" s="1"/>
  <c r="V17" i="1" s="1"/>
  <c r="V18" i="1" s="1"/>
  <c r="V19" i="1" s="1"/>
  <c r="V20" i="1" s="1"/>
  <c r="W17" i="1" s="1"/>
  <c r="W18" i="1" s="1"/>
  <c r="W19" i="1" s="1"/>
  <c r="W20" i="1" s="1"/>
  <c r="X17" i="1" s="1"/>
  <c r="X18" i="1" s="1"/>
  <c r="X19" i="1" s="1"/>
  <c r="X20" i="1" s="1"/>
  <c r="Y17" i="1" s="1"/>
  <c r="Y18" i="1" s="1"/>
  <c r="Y19" i="1" s="1"/>
  <c r="Y20" i="1" s="1"/>
  <c r="Z17" i="1" s="1"/>
  <c r="Z18" i="1" s="1"/>
  <c r="Z19" i="1" s="1"/>
  <c r="Z20" i="1" s="1"/>
  <c r="J63" i="3" l="1"/>
  <c r="K36" i="3"/>
  <c r="J50" i="3"/>
  <c r="E29" i="1"/>
  <c r="D38" i="1"/>
  <c r="D41" i="1" s="1"/>
  <c r="D44" i="1" s="1"/>
  <c r="K64" i="3"/>
  <c r="D37" i="6"/>
  <c r="D32" i="6"/>
  <c r="K37" i="3"/>
  <c r="L51" i="3"/>
  <c r="G18" i="7"/>
  <c r="G19" i="7"/>
  <c r="N77" i="3"/>
  <c r="I76" i="3"/>
  <c r="G32" i="3" l="1"/>
  <c r="G35" i="3" s="1"/>
  <c r="G38" i="3" s="1"/>
  <c r="G39" i="3" s="1"/>
  <c r="G46" i="3"/>
  <c r="G49" i="3" s="1"/>
  <c r="G52" i="3" s="1"/>
  <c r="G53" i="3" s="1"/>
  <c r="G72" i="3"/>
  <c r="G75" i="3" s="1"/>
  <c r="G78" i="3" s="1"/>
  <c r="G79" i="3" s="1"/>
  <c r="D46" i="1"/>
  <c r="L64" i="3"/>
  <c r="M51" i="3"/>
  <c r="E30" i="1"/>
  <c r="E35" i="1"/>
  <c r="J76" i="3"/>
  <c r="L37" i="3"/>
  <c r="D38" i="6"/>
  <c r="D41" i="6" s="1"/>
  <c r="D44" i="6" s="1"/>
  <c r="E29" i="6"/>
  <c r="L36" i="3"/>
  <c r="K50" i="3"/>
  <c r="K63" i="3"/>
  <c r="O77" i="3"/>
  <c r="D46" i="6" l="1"/>
  <c r="G59" i="3"/>
  <c r="G62" i="3" s="1"/>
  <c r="G65" i="3" s="1"/>
  <c r="G66" i="3" s="1"/>
  <c r="M37" i="3"/>
  <c r="K76" i="3"/>
  <c r="E36" i="1"/>
  <c r="E31" i="1"/>
  <c r="N51" i="3"/>
  <c r="P77" i="3"/>
  <c r="M64" i="3"/>
  <c r="L63" i="3"/>
  <c r="M36" i="3"/>
  <c r="L50" i="3"/>
  <c r="E35" i="6"/>
  <c r="E30" i="6"/>
  <c r="M50" i="3" l="1"/>
  <c r="M63" i="3"/>
  <c r="N36" i="3"/>
  <c r="L76" i="3"/>
  <c r="N64" i="3"/>
  <c r="N37" i="3"/>
  <c r="Q77" i="3"/>
  <c r="E31" i="6"/>
  <c r="E36" i="6"/>
  <c r="O51" i="3"/>
  <c r="E37" i="1"/>
  <c r="E32" i="1"/>
  <c r="O64" i="3" l="1"/>
  <c r="R77" i="3"/>
  <c r="O37" i="3"/>
  <c r="M76" i="3"/>
  <c r="E37" i="6"/>
  <c r="E32" i="6"/>
  <c r="O36" i="3"/>
  <c r="N50" i="3"/>
  <c r="N63" i="3"/>
  <c r="P51" i="3"/>
  <c r="F29" i="1"/>
  <c r="E38" i="1"/>
  <c r="E41" i="1" s="1"/>
  <c r="E44" i="1" s="1"/>
  <c r="H72" i="3" l="1"/>
  <c r="H75" i="3" s="1"/>
  <c r="H78" i="3" s="1"/>
  <c r="H79" i="3" s="1"/>
  <c r="H32" i="3"/>
  <c r="H35" i="3" s="1"/>
  <c r="H38" i="3" s="1"/>
  <c r="H39" i="3" s="1"/>
  <c r="E46" i="1"/>
  <c r="H46" i="3"/>
  <c r="H49" i="3" s="1"/>
  <c r="H52" i="3" s="1"/>
  <c r="H53" i="3" s="1"/>
  <c r="N76" i="3"/>
  <c r="O50" i="3"/>
  <c r="O63" i="3"/>
  <c r="P36" i="3"/>
  <c r="S77" i="3"/>
  <c r="F29" i="6"/>
  <c r="E38" i="6"/>
  <c r="E41" i="6" s="1"/>
  <c r="E44" i="6" s="1"/>
  <c r="F35" i="1"/>
  <c r="F30" i="1"/>
  <c r="Q51" i="3"/>
  <c r="P64" i="3"/>
  <c r="P37" i="3"/>
  <c r="E46" i="6" l="1"/>
  <c r="H59" i="3"/>
  <c r="H62" i="3" s="1"/>
  <c r="H65" i="3" s="1"/>
  <c r="H66" i="3" s="1"/>
  <c r="T77" i="3"/>
  <c r="R51" i="3"/>
  <c r="F31" i="1"/>
  <c r="F36" i="1"/>
  <c r="O76" i="3"/>
  <c r="Q37" i="3"/>
  <c r="F35" i="6"/>
  <c r="F30" i="6"/>
  <c r="Q64" i="3"/>
  <c r="P50" i="3"/>
  <c r="Q36" i="3"/>
  <c r="P63" i="3"/>
  <c r="R37" i="3" l="1"/>
  <c r="S51" i="3"/>
  <c r="R64" i="3"/>
  <c r="U77" i="3"/>
  <c r="F31" i="6"/>
  <c r="F36" i="6"/>
  <c r="R36" i="3"/>
  <c r="Q50" i="3"/>
  <c r="Q63" i="3"/>
  <c r="P76" i="3"/>
  <c r="F37" i="1"/>
  <c r="F32" i="1"/>
  <c r="S37" i="3" l="1"/>
  <c r="Q76" i="3"/>
  <c r="S36" i="3"/>
  <c r="R63" i="3"/>
  <c r="R50" i="3"/>
  <c r="T51" i="3"/>
  <c r="F32" i="6"/>
  <c r="F37" i="6"/>
  <c r="V77" i="3"/>
  <c r="G29" i="1"/>
  <c r="F38" i="1"/>
  <c r="F41" i="1" s="1"/>
  <c r="F44" i="1" s="1"/>
  <c r="S64" i="3"/>
  <c r="I32" i="3" l="1"/>
  <c r="I35" i="3" s="1"/>
  <c r="I38" i="3" s="1"/>
  <c r="I39" i="3" s="1"/>
  <c r="I46" i="3"/>
  <c r="I49" i="3" s="1"/>
  <c r="I52" i="3" s="1"/>
  <c r="I53" i="3" s="1"/>
  <c r="I72" i="3"/>
  <c r="I75" i="3" s="1"/>
  <c r="I78" i="3" s="1"/>
  <c r="I79" i="3" s="1"/>
  <c r="F46" i="1"/>
  <c r="G30" i="1"/>
  <c r="G35" i="1"/>
  <c r="W77" i="3"/>
  <c r="T36" i="3"/>
  <c r="S63" i="3"/>
  <c r="S50" i="3"/>
  <c r="F38" i="6"/>
  <c r="F41" i="6" s="1"/>
  <c r="F44" i="6" s="1"/>
  <c r="G29" i="6"/>
  <c r="T64" i="3"/>
  <c r="T37" i="3"/>
  <c r="U51" i="3"/>
  <c r="R76" i="3"/>
  <c r="F46" i="6" l="1"/>
  <c r="I59" i="3"/>
  <c r="I62" i="3" s="1"/>
  <c r="I65" i="3" s="1"/>
  <c r="I66" i="3" s="1"/>
  <c r="G35" i="6"/>
  <c r="G30" i="6"/>
  <c r="U36" i="3"/>
  <c r="T50" i="3"/>
  <c r="T63" i="3"/>
  <c r="U37" i="3"/>
  <c r="X77" i="3"/>
  <c r="G31" i="1"/>
  <c r="G36" i="1"/>
  <c r="S76" i="3"/>
  <c r="V51" i="3"/>
  <c r="U64" i="3"/>
  <c r="V64" i="3" l="1"/>
  <c r="T76" i="3"/>
  <c r="W51" i="3"/>
  <c r="U50" i="3"/>
  <c r="V36" i="3"/>
  <c r="U63" i="3"/>
  <c r="Y77" i="3"/>
  <c r="V37" i="3"/>
  <c r="G32" i="1"/>
  <c r="G37" i="1"/>
  <c r="G36" i="6"/>
  <c r="G31" i="6"/>
  <c r="X51" i="3" l="1"/>
  <c r="Z77" i="3"/>
  <c r="G32" i="6"/>
  <c r="G37" i="6"/>
  <c r="H29" i="1"/>
  <c r="G38" i="1"/>
  <c r="G41" i="1" s="1"/>
  <c r="G44" i="1" s="1"/>
  <c r="W64" i="3"/>
  <c r="W36" i="3"/>
  <c r="V63" i="3"/>
  <c r="V50" i="3"/>
  <c r="W37" i="3"/>
  <c r="U76" i="3"/>
  <c r="J46" i="3" l="1"/>
  <c r="J49" i="3" s="1"/>
  <c r="J52" i="3" s="1"/>
  <c r="J53" i="3" s="1"/>
  <c r="J72" i="3"/>
  <c r="J75" i="3" s="1"/>
  <c r="J78" i="3" s="1"/>
  <c r="J79" i="3" s="1"/>
  <c r="J32" i="3"/>
  <c r="J35" i="3" s="1"/>
  <c r="J38" i="3" s="1"/>
  <c r="J39" i="3" s="1"/>
  <c r="G46" i="1"/>
  <c r="H29" i="6"/>
  <c r="G38" i="6"/>
  <c r="G41" i="6" s="1"/>
  <c r="G44" i="6" s="1"/>
  <c r="X36" i="3"/>
  <c r="W63" i="3"/>
  <c r="W50" i="3"/>
  <c r="X64" i="3"/>
  <c r="V76" i="3"/>
  <c r="AA77" i="3"/>
  <c r="Y51" i="3"/>
  <c r="X37" i="3"/>
  <c r="H35" i="1"/>
  <c r="H30" i="1"/>
  <c r="G46" i="6" l="1"/>
  <c r="J59" i="3"/>
  <c r="J62" i="3" s="1"/>
  <c r="J65" i="3" s="1"/>
  <c r="J66" i="3" s="1"/>
  <c r="H36" i="1"/>
  <c r="H31" i="1"/>
  <c r="Y37" i="3"/>
  <c r="H30" i="6"/>
  <c r="H35" i="6"/>
  <c r="Y64" i="3"/>
  <c r="Z51" i="3"/>
  <c r="W76" i="3"/>
  <c r="AB77" i="3"/>
  <c r="X50" i="3"/>
  <c r="X63" i="3"/>
  <c r="Y36" i="3"/>
  <c r="Z36" i="3" l="1"/>
  <c r="Y50" i="3"/>
  <c r="Y63" i="3"/>
  <c r="AA51" i="3"/>
  <c r="X76" i="3"/>
  <c r="Z64" i="3"/>
  <c r="Z37" i="3"/>
  <c r="H32" i="1"/>
  <c r="H37" i="1"/>
  <c r="AC77" i="3"/>
  <c r="H36" i="6"/>
  <c r="H31" i="6"/>
  <c r="AB51" i="3" l="1"/>
  <c r="H32" i="6"/>
  <c r="H37" i="6"/>
  <c r="AA37" i="3"/>
  <c r="AA64" i="3"/>
  <c r="Y76" i="3"/>
  <c r="I29" i="1"/>
  <c r="H38" i="1"/>
  <c r="H41" i="1" s="1"/>
  <c r="H44" i="1" s="1"/>
  <c r="Z63" i="3"/>
  <c r="Z50" i="3"/>
  <c r="AA36" i="3"/>
  <c r="K32" i="3" l="1"/>
  <c r="K35" i="3" s="1"/>
  <c r="K38" i="3" s="1"/>
  <c r="K39" i="3" s="1"/>
  <c r="K46" i="3"/>
  <c r="K49" i="3" s="1"/>
  <c r="K52" i="3" s="1"/>
  <c r="K53" i="3" s="1"/>
  <c r="K72" i="3"/>
  <c r="K75" i="3" s="1"/>
  <c r="K78" i="3" s="1"/>
  <c r="K79" i="3" s="1"/>
  <c r="H46" i="1"/>
  <c r="AB64" i="3"/>
  <c r="AB37" i="3"/>
  <c r="I30" i="1"/>
  <c r="I35" i="1"/>
  <c r="Z76" i="3"/>
  <c r="AC51" i="3"/>
  <c r="I29" i="6"/>
  <c r="H38" i="6"/>
  <c r="H41" i="6" s="1"/>
  <c r="H44" i="6" s="1"/>
  <c r="AB36" i="3"/>
  <c r="AA50" i="3"/>
  <c r="AA63" i="3"/>
  <c r="H46" i="6" l="1"/>
  <c r="K59" i="3"/>
  <c r="K62" i="3" s="1"/>
  <c r="K65" i="3" s="1"/>
  <c r="K66" i="3" s="1"/>
  <c r="AC37" i="3"/>
  <c r="I30" i="6"/>
  <c r="I35" i="6"/>
  <c r="AC64" i="3"/>
  <c r="AC36" i="3"/>
  <c r="AB50" i="3"/>
  <c r="AB63" i="3"/>
  <c r="AA76" i="3"/>
  <c r="I36" i="1"/>
  <c r="I31" i="1"/>
  <c r="AB76" i="3" l="1"/>
  <c r="I36" i="6"/>
  <c r="I31" i="6"/>
  <c r="I32" i="1"/>
  <c r="I37" i="1"/>
  <c r="AC50" i="3"/>
  <c r="AC63" i="3"/>
  <c r="I37" i="6" l="1"/>
  <c r="I32" i="6"/>
  <c r="AC76" i="3"/>
  <c r="I41" i="1"/>
  <c r="I44" i="1" s="1"/>
  <c r="J29" i="1"/>
  <c r="I38" i="1"/>
  <c r="L32" i="3" l="1"/>
  <c r="L35" i="3" s="1"/>
  <c r="L38" i="3" s="1"/>
  <c r="L39" i="3" s="1"/>
  <c r="L46" i="3"/>
  <c r="L49" i="3" s="1"/>
  <c r="L52" i="3" s="1"/>
  <c r="L53" i="3" s="1"/>
  <c r="L72" i="3"/>
  <c r="L75" i="3" s="1"/>
  <c r="L78" i="3" s="1"/>
  <c r="L79" i="3" s="1"/>
  <c r="I46" i="1"/>
  <c r="I38" i="6"/>
  <c r="I41" i="6" s="1"/>
  <c r="I44" i="6" s="1"/>
  <c r="J29" i="6"/>
  <c r="J30" i="1"/>
  <c r="J35" i="1"/>
  <c r="I46" i="6" l="1"/>
  <c r="L59" i="3"/>
  <c r="L62" i="3" s="1"/>
  <c r="L65" i="3" s="1"/>
  <c r="L66" i="3" s="1"/>
  <c r="J31" i="1"/>
  <c r="J36" i="1"/>
  <c r="J35" i="6"/>
  <c r="J30" i="6"/>
  <c r="J31" i="6" l="1"/>
  <c r="J36" i="6"/>
  <c r="J37" i="1"/>
  <c r="J32" i="1"/>
  <c r="K29" i="1" l="1"/>
  <c r="J38" i="1"/>
  <c r="J41" i="1" s="1"/>
  <c r="J44" i="1" s="1"/>
  <c r="J37" i="6"/>
  <c r="J32" i="6"/>
  <c r="K29" i="6" l="1"/>
  <c r="J38" i="6"/>
  <c r="J41" i="6" s="1"/>
  <c r="J44" i="6" s="1"/>
  <c r="K35" i="1"/>
  <c r="K30" i="1"/>
  <c r="M46" i="3"/>
  <c r="M49" i="3" s="1"/>
  <c r="M52" i="3" s="1"/>
  <c r="M53" i="3" s="1"/>
  <c r="M32" i="3"/>
  <c r="M35" i="3" s="1"/>
  <c r="M38" i="3" s="1"/>
  <c r="M39" i="3" s="1"/>
  <c r="J46" i="1"/>
  <c r="M72" i="3"/>
  <c r="M75" i="3" s="1"/>
  <c r="M78" i="3" s="1"/>
  <c r="M79" i="3" s="1"/>
  <c r="K31" i="1" l="1"/>
  <c r="K36" i="1"/>
  <c r="K30" i="6"/>
  <c r="K35" i="6"/>
  <c r="J46" i="6"/>
  <c r="M59" i="3"/>
  <c r="M62" i="3" s="1"/>
  <c r="M65" i="3" s="1"/>
  <c r="M66" i="3" s="1"/>
  <c r="K36" i="6" l="1"/>
  <c r="K31" i="6"/>
  <c r="K32" i="1"/>
  <c r="K37" i="1"/>
  <c r="L29" i="1" l="1"/>
  <c r="K38" i="1"/>
  <c r="K32" i="6"/>
  <c r="K37" i="6"/>
  <c r="K41" i="1"/>
  <c r="K44" i="1" s="1"/>
  <c r="L29" i="6" l="1"/>
  <c r="K38" i="6"/>
  <c r="K41" i="6" s="1"/>
  <c r="K44" i="6" s="1"/>
  <c r="L35" i="1"/>
  <c r="L30" i="1"/>
  <c r="N32" i="3"/>
  <c r="N35" i="3" s="1"/>
  <c r="N38" i="3" s="1"/>
  <c r="N39" i="3" s="1"/>
  <c r="N46" i="3"/>
  <c r="N49" i="3" s="1"/>
  <c r="N52" i="3" s="1"/>
  <c r="N53" i="3" s="1"/>
  <c r="N72" i="3"/>
  <c r="N75" i="3" s="1"/>
  <c r="N78" i="3" s="1"/>
  <c r="N79" i="3" s="1"/>
  <c r="K46" i="1"/>
  <c r="L36" i="1" l="1"/>
  <c r="L31" i="1"/>
  <c r="L30" i="6"/>
  <c r="L35" i="6"/>
  <c r="K46" i="6"/>
  <c r="N59" i="3"/>
  <c r="N62" i="3" s="1"/>
  <c r="N65" i="3" s="1"/>
  <c r="N66" i="3" s="1"/>
  <c r="L32" i="1" l="1"/>
  <c r="L37" i="1"/>
  <c r="L36" i="6"/>
  <c r="L31" i="6"/>
  <c r="M29" i="1" l="1"/>
  <c r="L38" i="1"/>
  <c r="L41" i="1" s="1"/>
  <c r="L44" i="1" s="1"/>
  <c r="L37" i="6"/>
  <c r="L32" i="6"/>
  <c r="L41" i="6" l="1"/>
  <c r="L44" i="6" s="1"/>
  <c r="M29" i="6"/>
  <c r="L38" i="6"/>
  <c r="M30" i="1"/>
  <c r="M35" i="1"/>
  <c r="O32" i="3"/>
  <c r="O35" i="3" s="1"/>
  <c r="O38" i="3" s="1"/>
  <c r="O39" i="3" s="1"/>
  <c r="O46" i="3"/>
  <c r="O49" i="3" s="1"/>
  <c r="O52" i="3" s="1"/>
  <c r="O53" i="3" s="1"/>
  <c r="O72" i="3"/>
  <c r="O75" i="3" s="1"/>
  <c r="O78" i="3" s="1"/>
  <c r="O79" i="3" s="1"/>
  <c r="L46" i="1"/>
  <c r="M36" i="1" l="1"/>
  <c r="M31" i="1"/>
  <c r="M30" i="6"/>
  <c r="M35" i="6"/>
  <c r="L46" i="6"/>
  <c r="O59" i="3"/>
  <c r="O62" i="3" s="1"/>
  <c r="O65" i="3" s="1"/>
  <c r="O66" i="3" s="1"/>
  <c r="M31" i="6" l="1"/>
  <c r="M36" i="6"/>
  <c r="M37" i="1"/>
  <c r="M32" i="1"/>
  <c r="M38" i="1" l="1"/>
  <c r="N29" i="1"/>
  <c r="M41" i="1"/>
  <c r="M44" i="1" s="1"/>
  <c r="M32" i="6"/>
  <c r="M37" i="6"/>
  <c r="M41" i="6" l="1"/>
  <c r="M44" i="6" s="1"/>
  <c r="N29" i="6"/>
  <c r="M38" i="6"/>
  <c r="P32" i="3"/>
  <c r="P35" i="3" s="1"/>
  <c r="P38" i="3" s="1"/>
  <c r="P39" i="3" s="1"/>
  <c r="P46" i="3"/>
  <c r="P49" i="3" s="1"/>
  <c r="P52" i="3" s="1"/>
  <c r="P53" i="3" s="1"/>
  <c r="P72" i="3"/>
  <c r="P75" i="3" s="1"/>
  <c r="P78" i="3" s="1"/>
  <c r="P79" i="3" s="1"/>
  <c r="M46" i="1"/>
  <c r="N30" i="1"/>
  <c r="N35" i="1"/>
  <c r="N31" i="1" l="1"/>
  <c r="N36" i="1"/>
  <c r="N30" i="6"/>
  <c r="N35" i="6"/>
  <c r="M46" i="6"/>
  <c r="P59" i="3"/>
  <c r="P62" i="3" s="1"/>
  <c r="P65" i="3" s="1"/>
  <c r="P66" i="3" s="1"/>
  <c r="N31" i="6" l="1"/>
  <c r="N36" i="6"/>
  <c r="N37" i="1"/>
  <c r="N32" i="1"/>
  <c r="N32" i="6" l="1"/>
  <c r="N37" i="6"/>
  <c r="O29" i="1"/>
  <c r="N38" i="1"/>
  <c r="N41" i="1" s="1"/>
  <c r="N44" i="1" s="1"/>
  <c r="Q32" i="3" l="1"/>
  <c r="Q35" i="3" s="1"/>
  <c r="Q38" i="3" s="1"/>
  <c r="Q39" i="3" s="1"/>
  <c r="Q72" i="3"/>
  <c r="Q75" i="3" s="1"/>
  <c r="Q78" i="3" s="1"/>
  <c r="Q79" i="3" s="1"/>
  <c r="Q46" i="3"/>
  <c r="Q49" i="3" s="1"/>
  <c r="Q52" i="3" s="1"/>
  <c r="Q53" i="3" s="1"/>
  <c r="N46" i="1"/>
  <c r="O35" i="1"/>
  <c r="O30" i="1"/>
  <c r="N38" i="6"/>
  <c r="N41" i="6" s="1"/>
  <c r="N44" i="6" s="1"/>
  <c r="O29" i="6"/>
  <c r="N46" i="6" l="1"/>
  <c r="Q59" i="3"/>
  <c r="Q62" i="3" s="1"/>
  <c r="Q65" i="3" s="1"/>
  <c r="Q66" i="3" s="1"/>
  <c r="O31" i="1"/>
  <c r="O36" i="1"/>
  <c r="O35" i="6"/>
  <c r="O30" i="6"/>
  <c r="O32" i="1" l="1"/>
  <c r="O37" i="1"/>
  <c r="O31" i="6"/>
  <c r="O36" i="6"/>
  <c r="O37" i="6" l="1"/>
  <c r="O32" i="6"/>
  <c r="P29" i="1"/>
  <c r="O38" i="1"/>
  <c r="O41" i="1" s="1"/>
  <c r="O44" i="1" s="1"/>
  <c r="R46" i="3" l="1"/>
  <c r="R49" i="3" s="1"/>
  <c r="R52" i="3" s="1"/>
  <c r="R53" i="3" s="1"/>
  <c r="R32" i="3"/>
  <c r="R35" i="3" s="1"/>
  <c r="R38" i="3" s="1"/>
  <c r="R39" i="3" s="1"/>
  <c r="O46" i="1"/>
  <c r="R72" i="3"/>
  <c r="R75" i="3" s="1"/>
  <c r="R78" i="3" s="1"/>
  <c r="R79" i="3" s="1"/>
  <c r="P35" i="1"/>
  <c r="P30" i="1"/>
  <c r="P29" i="6"/>
  <c r="O38" i="6"/>
  <c r="O41" i="6" s="1"/>
  <c r="O44" i="6" s="1"/>
  <c r="P30" i="6" l="1"/>
  <c r="P35" i="6"/>
  <c r="O46" i="6"/>
  <c r="R59" i="3"/>
  <c r="R62" i="3" s="1"/>
  <c r="R65" i="3" s="1"/>
  <c r="R66" i="3" s="1"/>
  <c r="P31" i="1"/>
  <c r="P36" i="1"/>
  <c r="P32" i="1" l="1"/>
  <c r="P37" i="1"/>
  <c r="P36" i="6"/>
  <c r="P31" i="6"/>
  <c r="Q29" i="1" l="1"/>
  <c r="P38" i="1"/>
  <c r="P41" i="1" s="1"/>
  <c r="P44" i="1" s="1"/>
  <c r="P32" i="6"/>
  <c r="P37" i="6"/>
  <c r="S32" i="3" l="1"/>
  <c r="S35" i="3" s="1"/>
  <c r="S38" i="3" s="1"/>
  <c r="S39" i="3" s="1"/>
  <c r="S72" i="3"/>
  <c r="S75" i="3" s="1"/>
  <c r="S78" i="3" s="1"/>
  <c r="S79" i="3" s="1"/>
  <c r="S46" i="3"/>
  <c r="S49" i="3" s="1"/>
  <c r="S52" i="3" s="1"/>
  <c r="S53" i="3" s="1"/>
  <c r="P46" i="1"/>
  <c r="Q29" i="6"/>
  <c r="P38" i="6"/>
  <c r="P41" i="6" s="1"/>
  <c r="P44" i="6" s="1"/>
  <c r="Q30" i="1"/>
  <c r="Q35" i="1"/>
  <c r="P46" i="6" l="1"/>
  <c r="S59" i="3"/>
  <c r="S62" i="3" s="1"/>
  <c r="S65" i="3" s="1"/>
  <c r="S66" i="3" s="1"/>
  <c r="Q36" i="1"/>
  <c r="Q31" i="1"/>
  <c r="Q30" i="6"/>
  <c r="Q35" i="6"/>
  <c r="Q31" i="6" l="1"/>
  <c r="Q36" i="6"/>
  <c r="Q32" i="1"/>
  <c r="Q37" i="1"/>
  <c r="Q38" i="1" l="1"/>
  <c r="Q41" i="1" s="1"/>
  <c r="Q44" i="1" s="1"/>
  <c r="R29" i="1"/>
  <c r="Q37" i="6"/>
  <c r="Q32" i="6"/>
  <c r="T32" i="3" l="1"/>
  <c r="T35" i="3" s="1"/>
  <c r="T38" i="3" s="1"/>
  <c r="T39" i="3" s="1"/>
  <c r="T46" i="3"/>
  <c r="T49" i="3" s="1"/>
  <c r="T52" i="3" s="1"/>
  <c r="T53" i="3" s="1"/>
  <c r="T72" i="3"/>
  <c r="T75" i="3" s="1"/>
  <c r="T78" i="3" s="1"/>
  <c r="T79" i="3" s="1"/>
  <c r="Q46" i="1"/>
  <c r="R30" i="1"/>
  <c r="R35" i="1"/>
  <c r="Q38" i="6"/>
  <c r="Q41" i="6" s="1"/>
  <c r="Q44" i="6" s="1"/>
  <c r="R29" i="6"/>
  <c r="Q46" i="6" l="1"/>
  <c r="T59" i="3"/>
  <c r="T62" i="3" s="1"/>
  <c r="T65" i="3" s="1"/>
  <c r="T66" i="3" s="1"/>
  <c r="R31" i="1"/>
  <c r="R36" i="1"/>
  <c r="R35" i="6"/>
  <c r="R30" i="6"/>
  <c r="R37" i="1" l="1"/>
  <c r="R32" i="1"/>
  <c r="R31" i="6"/>
  <c r="R36" i="6"/>
  <c r="R38" i="1" l="1"/>
  <c r="R41" i="1" s="1"/>
  <c r="R44" i="1" s="1"/>
  <c r="S29" i="1"/>
  <c r="R32" i="6"/>
  <c r="R37" i="6"/>
  <c r="U32" i="3" l="1"/>
  <c r="U35" i="3" s="1"/>
  <c r="U38" i="3" s="1"/>
  <c r="U39" i="3" s="1"/>
  <c r="U46" i="3"/>
  <c r="U49" i="3" s="1"/>
  <c r="U52" i="3" s="1"/>
  <c r="U53" i="3" s="1"/>
  <c r="U72" i="3"/>
  <c r="U75" i="3" s="1"/>
  <c r="U78" i="3" s="1"/>
  <c r="U79" i="3" s="1"/>
  <c r="R46" i="1"/>
  <c r="S29" i="6"/>
  <c r="R38" i="6"/>
  <c r="R41" i="6" s="1"/>
  <c r="R44" i="6" s="1"/>
  <c r="S35" i="1"/>
  <c r="S30" i="1"/>
  <c r="R46" i="6" l="1"/>
  <c r="U59" i="3"/>
  <c r="U62" i="3" s="1"/>
  <c r="U65" i="3" s="1"/>
  <c r="U66" i="3" s="1"/>
  <c r="S35" i="6"/>
  <c r="S30" i="6"/>
  <c r="S31" i="1"/>
  <c r="S36" i="1"/>
  <c r="S32" i="1" l="1"/>
  <c r="S37" i="1"/>
  <c r="S36" i="6"/>
  <c r="S31" i="6"/>
  <c r="S32" i="6" l="1"/>
  <c r="S37" i="6"/>
  <c r="T29" i="1"/>
  <c r="S38" i="1"/>
  <c r="S41" i="1" s="1"/>
  <c r="S44" i="1" s="1"/>
  <c r="V46" i="3" l="1"/>
  <c r="V49" i="3" s="1"/>
  <c r="V52" i="3" s="1"/>
  <c r="V53" i="3" s="1"/>
  <c r="V72" i="3"/>
  <c r="V75" i="3" s="1"/>
  <c r="V78" i="3" s="1"/>
  <c r="V79" i="3" s="1"/>
  <c r="V32" i="3"/>
  <c r="V35" i="3" s="1"/>
  <c r="V38" i="3" s="1"/>
  <c r="V39" i="3" s="1"/>
  <c r="S46" i="1"/>
  <c r="T35" i="1"/>
  <c r="T30" i="1"/>
  <c r="S38" i="6"/>
  <c r="S41" i="6" s="1"/>
  <c r="S44" i="6" s="1"/>
  <c r="T29" i="6"/>
  <c r="S46" i="6" l="1"/>
  <c r="V59" i="3"/>
  <c r="V62" i="3" s="1"/>
  <c r="V65" i="3" s="1"/>
  <c r="V66" i="3" s="1"/>
  <c r="T36" i="1"/>
  <c r="T31" i="1"/>
  <c r="T30" i="6"/>
  <c r="T35" i="6"/>
  <c r="T31" i="6" l="1"/>
  <c r="T36" i="6"/>
  <c r="T32" i="1"/>
  <c r="T37" i="1"/>
  <c r="U29" i="1" l="1"/>
  <c r="T38" i="1"/>
  <c r="T41" i="1" s="1"/>
  <c r="T44" i="1" s="1"/>
  <c r="T37" i="6"/>
  <c r="T32" i="6"/>
  <c r="W32" i="3" l="1"/>
  <c r="W35" i="3" s="1"/>
  <c r="W38" i="3" s="1"/>
  <c r="W39" i="3" s="1"/>
  <c r="W46" i="3"/>
  <c r="W49" i="3" s="1"/>
  <c r="W52" i="3" s="1"/>
  <c r="W53" i="3" s="1"/>
  <c r="T46" i="1"/>
  <c r="W72" i="3"/>
  <c r="W75" i="3" s="1"/>
  <c r="W78" i="3" s="1"/>
  <c r="W79" i="3" s="1"/>
  <c r="U29" i="6"/>
  <c r="T38" i="6"/>
  <c r="T41" i="6" s="1"/>
  <c r="T44" i="6" s="1"/>
  <c r="U30" i="1"/>
  <c r="U35" i="1"/>
  <c r="T46" i="6" l="1"/>
  <c r="W59" i="3"/>
  <c r="W62" i="3" s="1"/>
  <c r="W65" i="3" s="1"/>
  <c r="W66" i="3" s="1"/>
  <c r="U35" i="6"/>
  <c r="U30" i="6"/>
  <c r="U36" i="1"/>
  <c r="U31" i="1"/>
  <c r="U37" i="1" l="1"/>
  <c r="U32" i="1"/>
  <c r="U31" i="6"/>
  <c r="U36" i="6"/>
  <c r="V29" i="1" l="1"/>
  <c r="U38" i="1"/>
  <c r="U32" i="6"/>
  <c r="U37" i="6"/>
  <c r="U41" i="1"/>
  <c r="U44" i="1" s="1"/>
  <c r="V29" i="6" l="1"/>
  <c r="U38" i="6"/>
  <c r="U41" i="6" s="1"/>
  <c r="U44" i="6" s="1"/>
  <c r="X32" i="3"/>
  <c r="X35" i="3" s="1"/>
  <c r="X38" i="3" s="1"/>
  <c r="X39" i="3" s="1"/>
  <c r="X46" i="3"/>
  <c r="X49" i="3" s="1"/>
  <c r="X52" i="3" s="1"/>
  <c r="X53" i="3" s="1"/>
  <c r="X72" i="3"/>
  <c r="X75" i="3" s="1"/>
  <c r="X78" i="3" s="1"/>
  <c r="X79" i="3" s="1"/>
  <c r="U46" i="1"/>
  <c r="V30" i="1"/>
  <c r="V35" i="1"/>
  <c r="V35" i="6" l="1"/>
  <c r="V30" i="6"/>
  <c r="V31" i="1"/>
  <c r="V36" i="1"/>
  <c r="U46" i="6"/>
  <c r="X59" i="3"/>
  <c r="X62" i="3" s="1"/>
  <c r="X65" i="3" s="1"/>
  <c r="X66" i="3" s="1"/>
  <c r="V37" i="1" l="1"/>
  <c r="V32" i="1"/>
  <c r="V36" i="6"/>
  <c r="V31" i="6"/>
  <c r="V32" i="6" l="1"/>
  <c r="V37" i="6"/>
  <c r="W29" i="1"/>
  <c r="V38" i="1"/>
  <c r="V41" i="1" s="1"/>
  <c r="V44" i="1" s="1"/>
  <c r="Y32" i="3" l="1"/>
  <c r="Y35" i="3" s="1"/>
  <c r="Y38" i="3" s="1"/>
  <c r="Y39" i="3" s="1"/>
  <c r="Y72" i="3"/>
  <c r="Y75" i="3" s="1"/>
  <c r="Y78" i="3" s="1"/>
  <c r="Y79" i="3" s="1"/>
  <c r="Y46" i="3"/>
  <c r="Y49" i="3" s="1"/>
  <c r="Y52" i="3" s="1"/>
  <c r="Y53" i="3" s="1"/>
  <c r="V46" i="1"/>
  <c r="V38" i="6"/>
  <c r="V41" i="6" s="1"/>
  <c r="V44" i="6" s="1"/>
  <c r="W29" i="6"/>
  <c r="W30" i="1"/>
  <c r="W35" i="1"/>
  <c r="V46" i="6" l="1"/>
  <c r="Y59" i="3"/>
  <c r="Y62" i="3" s="1"/>
  <c r="Y65" i="3" s="1"/>
  <c r="Y66" i="3" s="1"/>
  <c r="W31" i="1"/>
  <c r="W36" i="1"/>
  <c r="W35" i="6"/>
  <c r="W30" i="6"/>
  <c r="W36" i="6" l="1"/>
  <c r="W31" i="6"/>
  <c r="W32" i="1"/>
  <c r="W37" i="1"/>
  <c r="X29" i="1" l="1"/>
  <c r="W38" i="1"/>
  <c r="W41" i="1" s="1"/>
  <c r="W44" i="1" s="1"/>
  <c r="W32" i="6"/>
  <c r="W37" i="6"/>
  <c r="Z46" i="3" l="1"/>
  <c r="Z49" i="3" s="1"/>
  <c r="Z52" i="3" s="1"/>
  <c r="Z53" i="3" s="1"/>
  <c r="Z32" i="3"/>
  <c r="Z35" i="3" s="1"/>
  <c r="Z38" i="3" s="1"/>
  <c r="Z39" i="3" s="1"/>
  <c r="Z72" i="3"/>
  <c r="Z75" i="3" s="1"/>
  <c r="Z78" i="3" s="1"/>
  <c r="Z79" i="3" s="1"/>
  <c r="W46" i="1"/>
  <c r="X35" i="1"/>
  <c r="X30" i="1"/>
  <c r="X29" i="6"/>
  <c r="W38" i="6"/>
  <c r="W41" i="6" s="1"/>
  <c r="W44" i="6" s="1"/>
  <c r="W46" i="6" l="1"/>
  <c r="Z59" i="3"/>
  <c r="Z62" i="3" s="1"/>
  <c r="Z65" i="3" s="1"/>
  <c r="Z66" i="3" s="1"/>
  <c r="X36" i="1"/>
  <c r="X31" i="1"/>
  <c r="X30" i="6"/>
  <c r="X35" i="6"/>
  <c r="X32" i="1" l="1"/>
  <c r="X37" i="1"/>
  <c r="X36" i="6"/>
  <c r="X31" i="6"/>
  <c r="X37" i="6" l="1"/>
  <c r="X32" i="6"/>
  <c r="Y29" i="1"/>
  <c r="X38" i="1"/>
  <c r="X41" i="1" s="1"/>
  <c r="X44" i="1" s="1"/>
  <c r="AA32" i="3" l="1"/>
  <c r="AA35" i="3" s="1"/>
  <c r="AA38" i="3" s="1"/>
  <c r="AA39" i="3" s="1"/>
  <c r="AA72" i="3"/>
  <c r="AA75" i="3" s="1"/>
  <c r="AA78" i="3" s="1"/>
  <c r="AA79" i="3" s="1"/>
  <c r="AA46" i="3"/>
  <c r="AA49" i="3" s="1"/>
  <c r="AA52" i="3" s="1"/>
  <c r="AA53" i="3" s="1"/>
  <c r="X46" i="1"/>
  <c r="Y29" i="6"/>
  <c r="X38" i="6"/>
  <c r="X41" i="6" s="1"/>
  <c r="X44" i="6" s="1"/>
  <c r="Y30" i="1"/>
  <c r="Y35" i="1"/>
  <c r="X46" i="6" l="1"/>
  <c r="AA59" i="3"/>
  <c r="AA62" i="3" s="1"/>
  <c r="AA65" i="3" s="1"/>
  <c r="AA66" i="3" s="1"/>
  <c r="Y36" i="1"/>
  <c r="Y31" i="1"/>
  <c r="Y30" i="6"/>
  <c r="Y35" i="6"/>
  <c r="Y36" i="6" l="1"/>
  <c r="Y31" i="6"/>
  <c r="Y37" i="1"/>
  <c r="Y32" i="1"/>
  <c r="Z29" i="1" l="1"/>
  <c r="Y38" i="1"/>
  <c r="Y41" i="1"/>
  <c r="Y44" i="1" s="1"/>
  <c r="Y37" i="6"/>
  <c r="Y32" i="6"/>
  <c r="Z29" i="6" l="1"/>
  <c r="Y38" i="6"/>
  <c r="Y41" i="6" s="1"/>
  <c r="Y44" i="6" s="1"/>
  <c r="AB32" i="3"/>
  <c r="AB35" i="3" s="1"/>
  <c r="AB38" i="3" s="1"/>
  <c r="AB39" i="3" s="1"/>
  <c r="AB72" i="3"/>
  <c r="AB75" i="3" s="1"/>
  <c r="AB78" i="3" s="1"/>
  <c r="AB79" i="3" s="1"/>
  <c r="AB46" i="3"/>
  <c r="AB49" i="3" s="1"/>
  <c r="AB52" i="3" s="1"/>
  <c r="AB53" i="3" s="1"/>
  <c r="Y46" i="1"/>
  <c r="Z30" i="1"/>
  <c r="Z35" i="1"/>
  <c r="Z31" i="1" l="1"/>
  <c r="Z36" i="1"/>
  <c r="Z35" i="6"/>
  <c r="Z30" i="6"/>
  <c r="Y46" i="6"/>
  <c r="AB59" i="3"/>
  <c r="AB62" i="3" s="1"/>
  <c r="AB65" i="3" s="1"/>
  <c r="AB66" i="3" s="1"/>
  <c r="Z37" i="1" l="1"/>
  <c r="Z32" i="1"/>
  <c r="Z38" i="1" s="1"/>
  <c r="Z31" i="6"/>
  <c r="Z36" i="6"/>
  <c r="Z41" i="1" l="1"/>
  <c r="Z44" i="1" s="1"/>
  <c r="AC46" i="3"/>
  <c r="AC49" i="3" s="1"/>
  <c r="AC52" i="3" s="1"/>
  <c r="AC53" i="3" s="1"/>
  <c r="AC32" i="3"/>
  <c r="AC35" i="3" s="1"/>
  <c r="AC38" i="3" s="1"/>
  <c r="AC39" i="3" s="1"/>
  <c r="AC72" i="3"/>
  <c r="AC75" i="3" s="1"/>
  <c r="AC78" i="3" s="1"/>
  <c r="AC79" i="3" s="1"/>
  <c r="Z46" i="1"/>
  <c r="Z37" i="6"/>
  <c r="Z41" i="6" s="1"/>
  <c r="Z44" i="6" s="1"/>
  <c r="Z32" i="6"/>
  <c r="Z38" i="6" s="1"/>
  <c r="Z46" i="6" l="1"/>
  <c r="AC59" i="3"/>
  <c r="AC62" i="3" s="1"/>
  <c r="AC65" i="3" s="1"/>
  <c r="AC66" i="3" s="1"/>
  <c r="Y25" i="3"/>
  <c r="Y17" i="3" l="1"/>
  <c r="S13" i="3"/>
  <c r="Y13" i="3"/>
  <c r="Y21" i="3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Rick Hill</author>
  </authors>
  <commentList>
    <comment ref="B12" authorId="0" shapeId="0" xr:uid="{00000000-0006-0000-0100-000001000000}">
      <text>
        <r>
          <rPr>
            <b/>
            <sz val="8"/>
            <color indexed="81"/>
            <rFont val="Tahoma"/>
            <family val="2"/>
          </rPr>
          <t>ENA:</t>
        </r>
        <r>
          <rPr>
            <sz val="8"/>
            <color indexed="81"/>
            <rFont val="Tahoma"/>
            <family val="2"/>
          </rPr>
          <t xml:space="preserve">
Enter "Yes" or "No"
</t>
        </r>
      </text>
    </comment>
    <comment ref="B13" authorId="0" shapeId="0" xr:uid="{00000000-0006-0000-0100-000002000000}">
      <text>
        <r>
          <rPr>
            <b/>
            <sz val="8"/>
            <color indexed="81"/>
            <rFont val="Tahoma"/>
            <family val="2"/>
          </rPr>
          <t>ENA:</t>
        </r>
        <r>
          <rPr>
            <sz val="8"/>
            <color indexed="81"/>
            <rFont val="Tahoma"/>
            <family val="2"/>
          </rPr>
          <t xml:space="preserve">
Enter "Yes" or "No"
</t>
        </r>
      </text>
    </comment>
    <comment ref="B16" authorId="0" shapeId="0" xr:uid="{00000000-0006-0000-0100-000003000000}">
      <text>
        <r>
          <rPr>
            <b/>
            <sz val="8"/>
            <color indexed="81"/>
            <rFont val="Tahoma"/>
            <family val="2"/>
          </rPr>
          <t>ENA:</t>
        </r>
        <r>
          <rPr>
            <sz val="8"/>
            <color indexed="81"/>
            <rFont val="Tahoma"/>
            <family val="2"/>
          </rPr>
          <t xml:space="preserve">
Enter "Yes" or "No"
</t>
        </r>
      </text>
    </comment>
    <comment ref="B17" authorId="0" shapeId="0" xr:uid="{00000000-0006-0000-0100-000004000000}">
      <text>
        <r>
          <rPr>
            <b/>
            <sz val="8"/>
            <color indexed="81"/>
            <rFont val="Tahoma"/>
            <family val="2"/>
          </rPr>
          <t>ENA:</t>
        </r>
        <r>
          <rPr>
            <sz val="8"/>
            <color indexed="81"/>
            <rFont val="Tahoma"/>
            <family val="2"/>
          </rPr>
          <t xml:space="preserve">
Enter "Yes" or "No"
</t>
        </r>
      </text>
    </comment>
    <comment ref="B20" authorId="0" shapeId="0" xr:uid="{00000000-0006-0000-0100-000005000000}">
      <text>
        <r>
          <rPr>
            <b/>
            <sz val="8"/>
            <color indexed="81"/>
            <rFont val="Tahoma"/>
            <family val="2"/>
          </rPr>
          <t>ENA:</t>
        </r>
        <r>
          <rPr>
            <sz val="8"/>
            <color indexed="81"/>
            <rFont val="Tahoma"/>
            <family val="2"/>
          </rPr>
          <t xml:space="preserve">
Enter "Yes" or "No"
</t>
        </r>
      </text>
    </comment>
    <comment ref="B21" authorId="0" shapeId="0" xr:uid="{00000000-0006-0000-0100-000006000000}">
      <text>
        <r>
          <rPr>
            <b/>
            <sz val="8"/>
            <color indexed="81"/>
            <rFont val="Tahoma"/>
            <family val="2"/>
          </rPr>
          <t>ENA:</t>
        </r>
        <r>
          <rPr>
            <sz val="8"/>
            <color indexed="81"/>
            <rFont val="Tahoma"/>
            <family val="2"/>
          </rPr>
          <t xml:space="preserve">
Enter "Yes" or "No"
</t>
        </r>
      </text>
    </comment>
    <comment ref="B24" authorId="0" shapeId="0" xr:uid="{00000000-0006-0000-0100-000007000000}">
      <text>
        <r>
          <rPr>
            <b/>
            <sz val="8"/>
            <color indexed="81"/>
            <rFont val="Tahoma"/>
            <family val="2"/>
          </rPr>
          <t>ENA:</t>
        </r>
        <r>
          <rPr>
            <sz val="8"/>
            <color indexed="81"/>
            <rFont val="Tahoma"/>
            <family val="2"/>
          </rPr>
          <t xml:space="preserve">
Enter "Yes" or "No"
</t>
        </r>
      </text>
    </comment>
    <comment ref="B25" authorId="0" shapeId="0" xr:uid="{00000000-0006-0000-0100-000008000000}">
      <text>
        <r>
          <rPr>
            <b/>
            <sz val="8"/>
            <color indexed="81"/>
            <rFont val="Tahoma"/>
            <family val="2"/>
          </rPr>
          <t>ENA:</t>
        </r>
        <r>
          <rPr>
            <sz val="8"/>
            <color indexed="81"/>
            <rFont val="Tahoma"/>
            <family val="2"/>
          </rPr>
          <t xml:space="preserve">
Enter "Yes" or "No"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jking4</author>
  </authors>
  <commentList>
    <comment ref="H28" authorId="0" shapeId="0" xr:uid="{00000000-0006-0000-0400-000001000000}">
      <text>
        <r>
          <rPr>
            <b/>
            <sz val="8"/>
            <color indexed="81"/>
            <rFont val="Tahoma"/>
            <family val="2"/>
          </rPr>
          <t>ENA:</t>
        </r>
        <r>
          <rPr>
            <sz val="8"/>
            <color indexed="81"/>
            <rFont val="Tahoma"/>
            <family val="2"/>
          </rPr>
          <t xml:space="preserve">
$20 MM per Tick evaluation.</t>
        </r>
      </text>
    </comment>
  </commentList>
</comments>
</file>

<file path=xl/sharedStrings.xml><?xml version="1.0" encoding="utf-8"?>
<sst xmlns="http://schemas.openxmlformats.org/spreadsheetml/2006/main" count="308" uniqueCount="143">
  <si>
    <t>Yearly Principal Repayment %</t>
  </si>
  <si>
    <t xml:space="preserve">Quarter 1 Principal Repayment </t>
  </si>
  <si>
    <t xml:space="preserve">Quarter 2 Principal Repayment </t>
  </si>
  <si>
    <t xml:space="preserve">Quarter 3 Principal Repayment </t>
  </si>
  <si>
    <t xml:space="preserve">Quarter 4 Principal Repayment </t>
  </si>
  <si>
    <t xml:space="preserve">Quarter 1 Debt Balance </t>
  </si>
  <si>
    <t xml:space="preserve">Quarter 2 Debt Balance </t>
  </si>
  <si>
    <t xml:space="preserve">Quarter 3 Debt Balance </t>
  </si>
  <si>
    <t xml:space="preserve">Quarter 4 Debt Balance </t>
  </si>
  <si>
    <t>COBANK</t>
  </si>
  <si>
    <t>Total (CHASE &amp; COBANK)</t>
  </si>
  <si>
    <t>Index Rate</t>
  </si>
  <si>
    <t>Treasury Bond Rate at "Financial Close"</t>
  </si>
  <si>
    <t>Interest Rate Adjustment</t>
  </si>
  <si>
    <t>Amortization A (Construction Loan)</t>
  </si>
  <si>
    <t>Amortization B (Construction Loan)</t>
  </si>
  <si>
    <t>Plant Capacity</t>
  </si>
  <si>
    <t>Months in the Year</t>
  </si>
  <si>
    <t>Yearly Capacity Payments</t>
  </si>
  <si>
    <t>Monthly Capacity Payments</t>
  </si>
  <si>
    <t>Apache Savings</t>
  </si>
  <si>
    <t>Contract Capacity Rates</t>
  </si>
  <si>
    <t>Yes</t>
  </si>
  <si>
    <t>Adjusted Capacity Rate</t>
  </si>
  <si>
    <t>Question 1</t>
  </si>
  <si>
    <t>$/kW-mo.</t>
  </si>
  <si>
    <t>kW</t>
  </si>
  <si>
    <t>O &amp; M Adjustment</t>
  </si>
  <si>
    <t>No</t>
  </si>
  <si>
    <t>Discount Rate</t>
  </si>
  <si>
    <t>Question 2</t>
  </si>
  <si>
    <t>Question 3</t>
  </si>
  <si>
    <t>Question 1 - At Inception</t>
  </si>
  <si>
    <t>Question 2 - Status Quo</t>
  </si>
  <si>
    <t>THIS INFORMATION IS CONFIDENTIAL PER SECTION 5 OF THE FACILITATION AGREEMENT</t>
  </si>
  <si>
    <t>245 MW</t>
  </si>
  <si>
    <t>258 MW</t>
  </si>
  <si>
    <t>263 MW</t>
  </si>
  <si>
    <t>Date of Measurement</t>
  </si>
  <si>
    <t>ML Proforma</t>
  </si>
  <si>
    <t>As Financed</t>
  </si>
  <si>
    <t>Question 1:</t>
  </si>
  <si>
    <t>What equity value is implied under</t>
  </si>
  <si>
    <t>Section 11.02(i)(a), both at inception</t>
  </si>
  <si>
    <t>and point forward?</t>
  </si>
  <si>
    <t>Less:  Project-Level Debt</t>
  </si>
  <si>
    <t>Less:  SWAP Unwind Costs</t>
  </si>
  <si>
    <t>Implied Equity Value</t>
  </si>
  <si>
    <t>Question 2:</t>
  </si>
  <si>
    <t>is implied under Section 11.02(i)(a)?</t>
  </si>
  <si>
    <t>Question 3:</t>
  </si>
  <si>
    <t>How would the answer to Question 2</t>
  </si>
  <si>
    <t>Status Quo</t>
  </si>
  <si>
    <t>Include Interest Rate Adjustment?</t>
  </si>
  <si>
    <t>Include Apache Savings?</t>
  </si>
  <si>
    <t>What equity value is implied under Sectoin 11.02(I)(a), both at</t>
  </si>
  <si>
    <t>inception and point forward?</t>
  </si>
  <si>
    <r>
      <t>Status quo</t>
    </r>
    <r>
      <rPr>
        <sz val="10"/>
        <rFont val="Arial"/>
        <family val="2"/>
      </rPr>
      <t>, what level of damages is implied under Section</t>
    </r>
  </si>
  <si>
    <t>11.02(i)(a)?</t>
  </si>
  <si>
    <r>
      <t xml:space="preserve">How would the answer to Question 2 change is there were </t>
    </r>
    <r>
      <rPr>
        <u/>
        <sz val="10"/>
        <rFont val="Arial"/>
        <family val="2"/>
      </rPr>
      <t>no</t>
    </r>
  </si>
  <si>
    <r>
      <t>interest rate adjustment</t>
    </r>
    <r>
      <rPr>
        <sz val="10"/>
        <rFont val="Arial"/>
        <family val="2"/>
      </rPr>
      <t xml:space="preserve"> to Capacity Payments?</t>
    </r>
  </si>
  <si>
    <t>(1=Included, 0=Excluded)</t>
  </si>
  <si>
    <t>Apache Savings Variables</t>
  </si>
  <si>
    <t>Difference</t>
  </si>
  <si>
    <t>Chase Manhattan</t>
  </si>
  <si>
    <t>Per This Worksheet</t>
  </si>
  <si>
    <t>Average Annual Unpaid Principal</t>
  </si>
  <si>
    <t>Variables Used in Calculation</t>
  </si>
  <si>
    <t>@ 12/31/96</t>
  </si>
  <si>
    <t>@ 12/31/00</t>
  </si>
  <si>
    <t>Plant Capacity (PC)</t>
  </si>
  <si>
    <t>PC (kW) =</t>
  </si>
  <si>
    <t>Sensitivity to Plant Capacity</t>
  </si>
  <si>
    <t>Base Case Variables</t>
  </si>
  <si>
    <t>Status quo, what level of damages</t>
  </si>
  <si>
    <t>adjustment to Capacity Payments?</t>
  </si>
  <si>
    <t>Factor 2 - Coverage Ratio</t>
  </si>
  <si>
    <t>Factor 1 - Annual Billing Units, MW =</t>
  </si>
  <si>
    <t>Question 4:</t>
  </si>
  <si>
    <t>No i Adjustment</t>
  </si>
  <si>
    <t>to Capacity Payments was modified?</t>
  </si>
  <si>
    <t>Question 4</t>
  </si>
  <si>
    <t>How would the answer to Question 2 change if the interest rate</t>
  </si>
  <si>
    <t>adjustment to Capacity Payments was modified?</t>
  </si>
  <si>
    <t>Include Interest Rate Modification?</t>
  </si>
  <si>
    <t>Question 4 - No Interest Rate Adjustment</t>
  </si>
  <si>
    <t>Question 3 - Modified Interest Rate Adjustment</t>
  </si>
  <si>
    <t>(1=Modified, 0=Not Modified)</t>
  </si>
  <si>
    <t>Difference from Base Case (Assumes 12/31/00 Breach)</t>
  </si>
  <si>
    <t>Modified i Adjustment</t>
  </si>
  <si>
    <r>
      <t>change if the</t>
    </r>
    <r>
      <rPr>
        <b/>
        <u/>
        <sz val="10"/>
        <rFont val="Arial"/>
        <family val="2"/>
      </rPr>
      <t xml:space="preserve"> interest rate adjustment</t>
    </r>
  </si>
  <si>
    <r>
      <t xml:space="preserve">change if there were </t>
    </r>
    <r>
      <rPr>
        <b/>
        <u/>
        <sz val="10"/>
        <rFont val="Arial"/>
        <family val="2"/>
      </rPr>
      <t>no interest rate</t>
    </r>
  </si>
  <si>
    <t>Brazos' Interest Rate Adjustment</t>
  </si>
  <si>
    <t>Tenaska's Interest Rate Adjustment</t>
  </si>
  <si>
    <t>Excluding Interest Rate Adjustment</t>
  </si>
  <si>
    <t>Cleburne Plant</t>
  </si>
  <si>
    <t>Base Case Discount Rate</t>
  </si>
  <si>
    <t>Base Case Plant Capacity (kW)</t>
  </si>
  <si>
    <t>Base Case</t>
  </si>
  <si>
    <t>Days:</t>
  </si>
  <si>
    <t>Per June 27, 1996 Letter to Brazos (Lenox)</t>
  </si>
  <si>
    <t>Damage Sensitivities</t>
  </si>
  <si>
    <t>Cedar Brakes L.L.C.</t>
  </si>
  <si>
    <t>Restructuring Summary</t>
  </si>
  <si>
    <t>NPV</t>
  </si>
  <si>
    <t>Old PPA</t>
  </si>
  <si>
    <t>Market</t>
  </si>
  <si>
    <t>Stranded Investment (SI)</t>
  </si>
  <si>
    <t>New PPA</t>
  </si>
  <si>
    <t>PPA Savings</t>
  </si>
  <si>
    <t>Discount - PPA All-In Price</t>
  </si>
  <si>
    <t>Discount - Stranded Investment</t>
  </si>
  <si>
    <t>Year</t>
  </si>
  <si>
    <t>Volume</t>
  </si>
  <si>
    <t>SI</t>
  </si>
  <si>
    <t>Savings</t>
  </si>
  <si>
    <t>Source:  Moody's Investors Service, Global Credit Research (September 2000)</t>
  </si>
  <si>
    <t>Assumptions</t>
  </si>
  <si>
    <t>Assets Not Included in Tenaska's May 2000 Offer to Brazos</t>
  </si>
  <si>
    <t>Subtotal-Reserve Accounts</t>
  </si>
  <si>
    <t>Value of Assets NOT Included In Offer</t>
  </si>
  <si>
    <t>Offer Comparison</t>
  </si>
  <si>
    <t>Tenaska Bona Fide Offer</t>
  </si>
  <si>
    <t>Tenaska Indicative Offer</t>
  </si>
  <si>
    <t>Closing Date</t>
  </si>
  <si>
    <t>Purchase Price - Equity</t>
  </si>
  <si>
    <t>Payment for Development Assets</t>
  </si>
  <si>
    <t>Increased Capacity Rate - Effective 6/1/00</t>
  </si>
  <si>
    <t>N/A</t>
  </si>
  <si>
    <t>Increased Energy Rate - Effective 6/1/00</t>
  </si>
  <si>
    <t>Contract Purchases (Above Ownership/Operation) - 2001</t>
  </si>
  <si>
    <t>Cost to Replace Reserve Accounts</t>
  </si>
  <si>
    <t>EWG Savings</t>
  </si>
  <si>
    <t>Avoided Costs - Renewal Term</t>
  </si>
  <si>
    <t>Cost to Unwind Swap</t>
  </si>
  <si>
    <t>Total</t>
  </si>
  <si>
    <t>Delta %</t>
  </si>
  <si>
    <t>End-of-Year DR</t>
  </si>
  <si>
    <t>Mid-Year DR</t>
  </si>
  <si>
    <t>Comparison of PPE-ENA and Tenaska Offers</t>
  </si>
  <si>
    <t>PPE-ENA Offer</t>
  </si>
  <si>
    <t>MWh</t>
  </si>
  <si>
    <t>$/MWh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</si>
</sst>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6" formatCode="&quot;$&quot;#,##0_);[Red]\(&quot;$&quot;#,##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_);_(* \(#,##0\);_(* &quot;-&quot;??_);_(@_)"/>
    <numFmt numFmtId="165" formatCode="_(&quot;$&quot;* #,##0_);_(&quot;$&quot;* \(#,##0\);_(&quot;$&quot;* &quot;-&quot;??_);_(@_)"/>
    <numFmt numFmtId="166" formatCode="0.0%"/>
    <numFmt numFmtId="167" formatCode="_(* #,##0.0000_);_(* \(#,##0.0000\);_(* &quot;-&quot;??_);_(@_)"/>
    <numFmt numFmtId="168" formatCode="0.000%"/>
    <numFmt numFmtId="169" formatCode="0.0000%"/>
    <numFmt numFmtId="170" formatCode="_(&quot;$&quot;* #,##0.0_);_(&quot;$&quot;* \(#,##0.0\);_(&quot;$&quot;* &quot;-&quot;??_);_(@_)"/>
    <numFmt numFmtId="171" formatCode="&quot;$&quot;#,##0;[Red]&quot;$&quot;#,##0"/>
  </numFmts>
  <fonts count="25">
    <font>
      <sz val="10"/>
      <name val="Arial"/>
    </font>
    <font>
      <sz val="10"/>
      <name val="Arial"/>
      <family val="2"/>
    </font>
    <font>
      <sz val="10"/>
      <color indexed="12"/>
      <name val="Arial"/>
      <family val="2"/>
    </font>
    <font>
      <b/>
      <sz val="10"/>
      <name val="Arial"/>
      <family val="2"/>
    </font>
    <font>
      <b/>
      <sz val="10"/>
      <color indexed="12"/>
      <name val="Arial"/>
      <family val="2"/>
    </font>
    <font>
      <sz val="10"/>
      <name val="Arial"/>
      <family val="2"/>
    </font>
    <font>
      <b/>
      <sz val="12"/>
      <name val="Arial"/>
      <family val="2"/>
    </font>
    <font>
      <b/>
      <sz val="14"/>
      <name val="Arial Black"/>
      <family val="2"/>
    </font>
    <font>
      <b/>
      <sz val="10"/>
      <name val="Arial Black"/>
      <family val="2"/>
    </font>
    <font>
      <b/>
      <sz val="10"/>
      <color indexed="10"/>
      <name val="Arial Black"/>
      <family val="2"/>
    </font>
    <font>
      <b/>
      <u val="singleAccounting"/>
      <sz val="10"/>
      <name val="Arial"/>
      <family val="2"/>
    </font>
    <font>
      <u val="singleAccounting"/>
      <sz val="10"/>
      <name val="Arial"/>
      <family val="2"/>
    </font>
    <font>
      <sz val="10"/>
      <color indexed="8"/>
      <name val="Arial"/>
      <family val="2"/>
    </font>
    <font>
      <u val="singleAccounting"/>
      <sz val="10"/>
      <color indexed="12"/>
      <name val="Arial"/>
      <family val="2"/>
    </font>
    <font>
      <u/>
      <sz val="10"/>
      <name val="Arial"/>
      <family val="2"/>
    </font>
    <font>
      <sz val="8"/>
      <color indexed="81"/>
      <name val="Tahoma"/>
      <family val="2"/>
    </font>
    <font>
      <b/>
      <sz val="8"/>
      <color indexed="81"/>
      <name val="Tahoma"/>
      <family val="2"/>
    </font>
    <font>
      <b/>
      <sz val="10"/>
      <color indexed="8"/>
      <name val="Arial"/>
      <family val="2"/>
    </font>
    <font>
      <b/>
      <u/>
      <sz val="10"/>
      <name val="Arial"/>
      <family val="2"/>
    </font>
    <font>
      <b/>
      <sz val="14"/>
      <color indexed="10"/>
      <name val="Arial"/>
      <family val="2"/>
    </font>
    <font>
      <b/>
      <i/>
      <sz val="12"/>
      <name val="Arial"/>
      <family val="2"/>
    </font>
    <font>
      <u val="doubleAccounting"/>
      <sz val="10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sz val="9"/>
      <name val="宋体"/>
      <family val="3"/>
      <charset val="134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26"/>
        <bgColor indexed="64"/>
      </patternFill>
    </fill>
  </fills>
  <borders count="2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257">
    <xf numFmtId="0" fontId="0" fillId="0" borderId="0" xfId="0"/>
    <xf numFmtId="0" fontId="3" fillId="0" borderId="0" xfId="0" applyFont="1"/>
    <xf numFmtId="38" fontId="0" fillId="0" borderId="0" xfId="0" applyNumberFormat="1"/>
    <xf numFmtId="1" fontId="0" fillId="0" borderId="0" xfId="0" applyNumberFormat="1"/>
    <xf numFmtId="0" fontId="0" fillId="0" borderId="1" xfId="0" applyBorder="1"/>
    <xf numFmtId="168" fontId="2" fillId="0" borderId="0" xfId="0" applyNumberFormat="1" applyFont="1"/>
    <xf numFmtId="171" fontId="3" fillId="0" borderId="0" xfId="0" applyNumberFormat="1" applyFont="1"/>
    <xf numFmtId="164" fontId="0" fillId="0" borderId="0" xfId="1" applyNumberFormat="1" applyFont="1"/>
    <xf numFmtId="0" fontId="2" fillId="0" borderId="0" xfId="0" applyFont="1"/>
    <xf numFmtId="0" fontId="0" fillId="2" borderId="0" xfId="0" applyFill="1"/>
    <xf numFmtId="2" fontId="0" fillId="0" borderId="0" xfId="0" applyNumberFormat="1"/>
    <xf numFmtId="0" fontId="5" fillId="0" borderId="0" xfId="0" applyFont="1"/>
    <xf numFmtId="0" fontId="3" fillId="2" borderId="0" xfId="0" applyFont="1" applyFill="1"/>
    <xf numFmtId="0" fontId="5" fillId="0" borderId="2" xfId="0" applyFont="1" applyBorder="1"/>
    <xf numFmtId="0" fontId="5" fillId="0" borderId="3" xfId="0" applyFont="1" applyBorder="1"/>
    <xf numFmtId="164" fontId="5" fillId="0" borderId="1" xfId="1" applyNumberFormat="1" applyFont="1" applyBorder="1"/>
    <xf numFmtId="44" fontId="5" fillId="0" borderId="0" xfId="2" applyFont="1"/>
    <xf numFmtId="43" fontId="2" fillId="0" borderId="0" xfId="1" applyFont="1"/>
    <xf numFmtId="44" fontId="0" fillId="0" borderId="0" xfId="2" applyFont="1"/>
    <xf numFmtId="44" fontId="0" fillId="0" borderId="1" xfId="2" applyFont="1" applyBorder="1"/>
    <xf numFmtId="43" fontId="0" fillId="0" borderId="0" xfId="1" applyFont="1"/>
    <xf numFmtId="164" fontId="0" fillId="0" borderId="1" xfId="1" applyNumberFormat="1" applyFont="1" applyBorder="1"/>
    <xf numFmtId="0" fontId="3" fillId="0" borderId="4" xfId="0" applyFont="1" applyBorder="1" applyAlignment="1">
      <alignment horizontal="center"/>
    </xf>
    <xf numFmtId="0" fontId="3" fillId="0" borderId="0" xfId="0" applyFont="1" applyAlignment="1">
      <alignment horizontal="center"/>
    </xf>
    <xf numFmtId="0" fontId="0" fillId="0" borderId="5" xfId="0" applyBorder="1"/>
    <xf numFmtId="0" fontId="0" fillId="0" borderId="6" xfId="0" applyBorder="1"/>
    <xf numFmtId="10" fontId="0" fillId="0" borderId="1" xfId="0" applyNumberFormat="1" applyBorder="1"/>
    <xf numFmtId="0" fontId="3" fillId="2" borderId="0" xfId="0" applyFont="1" applyFill="1" applyAlignment="1">
      <alignment horizontal="center"/>
    </xf>
    <xf numFmtId="0" fontId="3" fillId="2" borderId="7" xfId="0" applyFont="1" applyFill="1" applyBorder="1" applyAlignment="1">
      <alignment horizontal="center"/>
    </xf>
    <xf numFmtId="14" fontId="3" fillId="2" borderId="7" xfId="0" applyNumberFormat="1" applyFont="1" applyFill="1" applyBorder="1" applyAlignment="1">
      <alignment horizontal="center"/>
    </xf>
    <xf numFmtId="43" fontId="10" fillId="2" borderId="0" xfId="1" applyFont="1" applyFill="1" applyAlignment="1">
      <alignment horizontal="center" wrapText="1"/>
    </xf>
    <xf numFmtId="43" fontId="11" fillId="2" borderId="0" xfId="1" applyFont="1" applyFill="1"/>
    <xf numFmtId="165" fontId="2" fillId="2" borderId="0" xfId="2" applyNumberFormat="1" applyFont="1" applyFill="1"/>
    <xf numFmtId="0" fontId="12" fillId="2" borderId="0" xfId="0" applyFont="1" applyFill="1"/>
    <xf numFmtId="165" fontId="1" fillId="2" borderId="0" xfId="2" applyNumberFormat="1" applyFill="1"/>
    <xf numFmtId="165" fontId="0" fillId="2" borderId="0" xfId="0" applyNumberFormat="1" applyFill="1"/>
    <xf numFmtId="0" fontId="11" fillId="2" borderId="0" xfId="0" applyFont="1" applyFill="1"/>
    <xf numFmtId="165" fontId="11" fillId="2" borderId="0" xfId="0" applyNumberFormat="1" applyFont="1" applyFill="1"/>
    <xf numFmtId="0" fontId="14" fillId="2" borderId="0" xfId="0" applyFont="1" applyFill="1"/>
    <xf numFmtId="0" fontId="0" fillId="2" borderId="8" xfId="0" applyFill="1" applyBorder="1"/>
    <xf numFmtId="0" fontId="0" fillId="2" borderId="5" xfId="0" applyFill="1" applyBorder="1"/>
    <xf numFmtId="0" fontId="0" fillId="2" borderId="6" xfId="0" applyFill="1" applyBorder="1"/>
    <xf numFmtId="0" fontId="0" fillId="2" borderId="2" xfId="0" applyFill="1" applyBorder="1"/>
    <xf numFmtId="0" fontId="0" fillId="2" borderId="9" xfId="0" applyFill="1" applyBorder="1"/>
    <xf numFmtId="165" fontId="0" fillId="2" borderId="9" xfId="0" applyNumberFormat="1" applyFill="1" applyBorder="1"/>
    <xf numFmtId="0" fontId="0" fillId="2" borderId="3" xfId="0" applyFill="1" applyBorder="1"/>
    <xf numFmtId="0" fontId="0" fillId="2" borderId="1" xfId="0" applyFill="1" applyBorder="1"/>
    <xf numFmtId="0" fontId="0" fillId="2" borderId="10" xfId="0" applyFill="1" applyBorder="1"/>
    <xf numFmtId="0" fontId="0" fillId="0" borderId="10" xfId="0" applyBorder="1"/>
    <xf numFmtId="0" fontId="14" fillId="2" borderId="8" xfId="0" applyFont="1" applyFill="1" applyBorder="1"/>
    <xf numFmtId="0" fontId="14" fillId="2" borderId="5" xfId="0" applyFont="1" applyFill="1" applyBorder="1"/>
    <xf numFmtId="0" fontId="14" fillId="2" borderId="6" xfId="0" applyFont="1" applyFill="1" applyBorder="1"/>
    <xf numFmtId="0" fontId="14" fillId="2" borderId="3" xfId="0" applyFont="1" applyFill="1" applyBorder="1"/>
    <xf numFmtId="171" fontId="5" fillId="0" borderId="0" xfId="0" applyNumberFormat="1" applyFont="1"/>
    <xf numFmtId="0" fontId="0" fillId="2" borderId="11" xfId="0" applyFill="1" applyBorder="1"/>
    <xf numFmtId="0" fontId="3" fillId="2" borderId="20" xfId="0" applyFont="1" applyFill="1" applyBorder="1"/>
    <xf numFmtId="0" fontId="6" fillId="0" borderId="0" xfId="0" applyFont="1" applyAlignment="1">
      <alignment horizontal="center"/>
    </xf>
    <xf numFmtId="165" fontId="0" fillId="0" borderId="0" xfId="2" applyNumberFormat="1" applyFont="1"/>
    <xf numFmtId="43" fontId="3" fillId="0" borderId="0" xfId="1" applyFont="1"/>
    <xf numFmtId="164" fontId="0" fillId="0" borderId="0" xfId="1" applyNumberFormat="1" applyFont="1" applyAlignment="1">
      <alignment horizontal="right"/>
    </xf>
    <xf numFmtId="164" fontId="0" fillId="0" borderId="1" xfId="1" applyNumberFormat="1" applyFont="1" applyBorder="1" applyAlignment="1">
      <alignment horizontal="right"/>
    </xf>
    <xf numFmtId="43" fontId="12" fillId="0" borderId="0" xfId="1" applyFont="1"/>
    <xf numFmtId="43" fontId="5" fillId="0" borderId="0" xfId="1" applyFont="1"/>
    <xf numFmtId="164" fontId="12" fillId="0" borderId="0" xfId="1" applyNumberFormat="1" applyFont="1"/>
    <xf numFmtId="165" fontId="12" fillId="2" borderId="0" xfId="2" applyNumberFormat="1" applyFont="1" applyFill="1"/>
    <xf numFmtId="0" fontId="5" fillId="0" borderId="8" xfId="0" applyFont="1" applyBorder="1"/>
    <xf numFmtId="164" fontId="2" fillId="0" borderId="5" xfId="1" applyNumberFormat="1" applyFont="1" applyBorder="1"/>
    <xf numFmtId="0" fontId="5" fillId="0" borderId="2" xfId="0" applyFont="1" applyBorder="1" applyAlignment="1">
      <alignment horizontal="center"/>
    </xf>
    <xf numFmtId="171" fontId="0" fillId="0" borderId="1" xfId="0" applyNumberFormat="1" applyBorder="1"/>
    <xf numFmtId="171" fontId="0" fillId="0" borderId="10" xfId="0" applyNumberFormat="1" applyBorder="1"/>
    <xf numFmtId="171" fontId="3" fillId="0" borderId="3" xfId="0" applyNumberFormat="1" applyFont="1" applyBorder="1"/>
    <xf numFmtId="0" fontId="0" fillId="0" borderId="21" xfId="0" applyBorder="1"/>
    <xf numFmtId="0" fontId="0" fillId="0" borderId="22" xfId="0" applyBorder="1"/>
    <xf numFmtId="0" fontId="3" fillId="0" borderId="23" xfId="0" applyFont="1" applyBorder="1" applyAlignment="1">
      <alignment horizontal="center"/>
    </xf>
    <xf numFmtId="43" fontId="0" fillId="2" borderId="0" xfId="1" applyFont="1" applyFill="1"/>
    <xf numFmtId="43" fontId="5" fillId="2" borderId="0" xfId="1" applyFont="1" applyFill="1"/>
    <xf numFmtId="0" fontId="5" fillId="2" borderId="0" xfId="0" applyFont="1" applyFill="1"/>
    <xf numFmtId="0" fontId="5" fillId="2" borderId="14" xfId="0" applyFont="1" applyFill="1" applyBorder="1"/>
    <xf numFmtId="0" fontId="0" fillId="2" borderId="18" xfId="0" applyFill="1" applyBorder="1"/>
    <xf numFmtId="0" fontId="5" fillId="2" borderId="12" xfId="0" applyFont="1" applyFill="1" applyBorder="1"/>
    <xf numFmtId="0" fontId="5" fillId="2" borderId="13" xfId="0" applyFont="1" applyFill="1" applyBorder="1"/>
    <xf numFmtId="0" fontId="0" fillId="2" borderId="16" xfId="0" applyFill="1" applyBorder="1"/>
    <xf numFmtId="38" fontId="17" fillId="2" borderId="15" xfId="0" applyNumberFormat="1" applyFont="1" applyFill="1" applyBorder="1"/>
    <xf numFmtId="0" fontId="12" fillId="2" borderId="0" xfId="0" applyFont="1" applyFill="1" applyAlignment="1">
      <alignment horizontal="left"/>
    </xf>
    <xf numFmtId="0" fontId="2" fillId="3" borderId="9" xfId="0" applyFont="1" applyFill="1" applyBorder="1" applyAlignment="1">
      <alignment horizontal="center"/>
    </xf>
    <xf numFmtId="0" fontId="2" fillId="3" borderId="10" xfId="0" applyFont="1" applyFill="1" applyBorder="1" applyAlignment="1">
      <alignment horizontal="center"/>
    </xf>
    <xf numFmtId="44" fontId="2" fillId="3" borderId="0" xfId="2" applyFont="1" applyFill="1"/>
    <xf numFmtId="44" fontId="2" fillId="3" borderId="1" xfId="2" applyFont="1" applyFill="1" applyBorder="1"/>
    <xf numFmtId="164" fontId="2" fillId="3" borderId="0" xfId="1" applyNumberFormat="1" applyFont="1" applyFill="1"/>
    <xf numFmtId="164" fontId="2" fillId="3" borderId="0" xfId="1" applyNumberFormat="1" applyFont="1" applyFill="1" applyBorder="1"/>
    <xf numFmtId="164" fontId="2" fillId="3" borderId="9" xfId="1" applyNumberFormat="1" applyFont="1" applyFill="1" applyBorder="1"/>
    <xf numFmtId="44" fontId="2" fillId="3" borderId="11" xfId="2" applyFont="1" applyFill="1" applyBorder="1"/>
    <xf numFmtId="44" fontId="2" fillId="3" borderId="24" xfId="2" applyFont="1" applyFill="1" applyBorder="1"/>
    <xf numFmtId="171" fontId="3" fillId="4" borderId="20" xfId="0" applyNumberFormat="1" applyFont="1" applyFill="1" applyBorder="1"/>
    <xf numFmtId="171" fontId="3" fillId="4" borderId="24" xfId="0" applyNumberFormat="1" applyFont="1" applyFill="1" applyBorder="1"/>
    <xf numFmtId="171" fontId="3" fillId="4" borderId="14" xfId="0" applyNumberFormat="1" applyFont="1" applyFill="1" applyBorder="1"/>
    <xf numFmtId="171" fontId="3" fillId="4" borderId="19" xfId="0" applyNumberFormat="1" applyFont="1" applyFill="1" applyBorder="1"/>
    <xf numFmtId="171" fontId="3" fillId="4" borderId="13" xfId="0" applyNumberFormat="1" applyFont="1" applyFill="1" applyBorder="1"/>
    <xf numFmtId="171" fontId="3" fillId="4" borderId="17" xfId="0" applyNumberFormat="1" applyFont="1" applyFill="1" applyBorder="1"/>
    <xf numFmtId="165" fontId="2" fillId="3" borderId="0" xfId="2" applyNumberFormat="1" applyFont="1" applyFill="1"/>
    <xf numFmtId="165" fontId="1" fillId="3" borderId="0" xfId="2" applyNumberFormat="1" applyFill="1"/>
    <xf numFmtId="0" fontId="0" fillId="3" borderId="0" xfId="0" applyFill="1"/>
    <xf numFmtId="165" fontId="13" fillId="3" borderId="0" xfId="2" applyNumberFormat="1" applyFont="1" applyFill="1"/>
    <xf numFmtId="0" fontId="11" fillId="3" borderId="0" xfId="0" applyFont="1" applyFill="1"/>
    <xf numFmtId="0" fontId="2" fillId="3" borderId="0" xfId="0" applyFont="1" applyFill="1" applyAlignment="1">
      <alignment horizontal="left"/>
    </xf>
    <xf numFmtId="168" fontId="2" fillId="3" borderId="0" xfId="0" applyNumberFormat="1" applyFont="1" applyFill="1"/>
    <xf numFmtId="10" fontId="2" fillId="3" borderId="0" xfId="0" applyNumberFormat="1" applyFont="1" applyFill="1"/>
    <xf numFmtId="43" fontId="10" fillId="2" borderId="0" xfId="1" applyFont="1" applyFill="1" applyAlignment="1">
      <alignment horizontal="left"/>
    </xf>
    <xf numFmtId="43" fontId="10" fillId="2" borderId="0" xfId="1" applyFont="1" applyFill="1" applyBorder="1" applyAlignment="1">
      <alignment horizontal="center"/>
    </xf>
    <xf numFmtId="43" fontId="10" fillId="2" borderId="9" xfId="1" applyFont="1" applyFill="1" applyBorder="1" applyAlignment="1">
      <alignment horizontal="center"/>
    </xf>
    <xf numFmtId="0" fontId="3" fillId="0" borderId="25" xfId="0" applyFont="1" applyBorder="1" applyAlignment="1">
      <alignment horizontal="center"/>
    </xf>
    <xf numFmtId="0" fontId="3" fillId="0" borderId="26" xfId="0" applyFont="1" applyBorder="1" applyAlignment="1">
      <alignment horizontal="center"/>
    </xf>
    <xf numFmtId="0" fontId="3" fillId="0" borderId="27" xfId="0" applyFont="1" applyBorder="1" applyAlignment="1">
      <alignment horizontal="center"/>
    </xf>
    <xf numFmtId="43" fontId="1" fillId="0" borderId="0" xfId="1"/>
    <xf numFmtId="165" fontId="1" fillId="0" borderId="0" xfId="2" applyNumberFormat="1"/>
    <xf numFmtId="0" fontId="3" fillId="2" borderId="18" xfId="0" applyFont="1" applyFill="1" applyBorder="1"/>
    <xf numFmtId="165" fontId="4" fillId="3" borderId="19" xfId="2" applyNumberFormat="1" applyFont="1" applyFill="1" applyBorder="1"/>
    <xf numFmtId="165" fontId="4" fillId="3" borderId="15" xfId="2" applyNumberFormat="1" applyFont="1" applyFill="1" applyBorder="1"/>
    <xf numFmtId="168" fontId="4" fillId="3" borderId="15" xfId="0" applyNumberFormat="1" applyFont="1" applyFill="1" applyBorder="1"/>
    <xf numFmtId="0" fontId="3" fillId="2" borderId="16" xfId="0" applyFont="1" applyFill="1" applyBorder="1"/>
    <xf numFmtId="40" fontId="4" fillId="3" borderId="17" xfId="0" applyNumberFormat="1" applyFont="1" applyFill="1" applyBorder="1"/>
    <xf numFmtId="0" fontId="5" fillId="2" borderId="8" xfId="0" applyFont="1" applyFill="1" applyBorder="1"/>
    <xf numFmtId="44" fontId="17" fillId="0" borderId="0" xfId="2" applyFont="1"/>
    <xf numFmtId="44" fontId="12" fillId="0" borderId="0" xfId="2" applyFont="1"/>
    <xf numFmtId="171" fontId="12" fillId="0" borderId="0" xfId="0" applyNumberFormat="1" applyFont="1"/>
    <xf numFmtId="0" fontId="3" fillId="2" borderId="2" xfId="0" applyFont="1" applyFill="1" applyBorder="1"/>
    <xf numFmtId="165" fontId="12" fillId="4" borderId="9" xfId="2" applyNumberFormat="1" applyFont="1" applyFill="1" applyBorder="1"/>
    <xf numFmtId="43" fontId="3" fillId="2" borderId="0" xfId="1" applyFont="1" applyFill="1"/>
    <xf numFmtId="164" fontId="12" fillId="0" borderId="5" xfId="1" applyNumberFormat="1" applyFont="1" applyBorder="1" applyAlignment="1">
      <alignment horizontal="right"/>
    </xf>
    <xf numFmtId="0" fontId="3" fillId="2" borderId="0" xfId="0" applyFont="1" applyFill="1" applyAlignment="1">
      <alignment horizontal="left"/>
    </xf>
    <xf numFmtId="164" fontId="2" fillId="2" borderId="0" xfId="1" applyNumberFormat="1" applyFont="1" applyFill="1" applyBorder="1"/>
    <xf numFmtId="164" fontId="12" fillId="2" borderId="0" xfId="1" applyNumberFormat="1" applyFont="1" applyFill="1" applyBorder="1" applyAlignment="1">
      <alignment horizontal="right"/>
    </xf>
    <xf numFmtId="10" fontId="0" fillId="2" borderId="0" xfId="0" applyNumberFormat="1" applyFill="1"/>
    <xf numFmtId="10" fontId="0" fillId="2" borderId="0" xfId="0" applyNumberFormat="1" applyFill="1" applyAlignment="1">
      <alignment horizontal="right"/>
    </xf>
    <xf numFmtId="164" fontId="2" fillId="3" borderId="7" xfId="1" applyNumberFormat="1" applyFont="1" applyFill="1" applyBorder="1"/>
    <xf numFmtId="10" fontId="2" fillId="3" borderId="7" xfId="3" applyNumberFormat="1" applyFont="1" applyFill="1" applyBorder="1"/>
    <xf numFmtId="164" fontId="12" fillId="2" borderId="6" xfId="1" applyNumberFormat="1" applyFont="1" applyFill="1" applyBorder="1"/>
    <xf numFmtId="10" fontId="12" fillId="2" borderId="10" xfId="3" applyNumberFormat="1" applyFont="1" applyFill="1" applyBorder="1"/>
    <xf numFmtId="0" fontId="0" fillId="2" borderId="21" xfId="0" applyFill="1" applyBorder="1"/>
    <xf numFmtId="0" fontId="0" fillId="2" borderId="23" xfId="0" applyFill="1" applyBorder="1"/>
    <xf numFmtId="165" fontId="12" fillId="4" borderId="23" xfId="2" applyNumberFormat="1" applyFont="1" applyFill="1" applyBorder="1"/>
    <xf numFmtId="165" fontId="0" fillId="2" borderId="23" xfId="0" applyNumberFormat="1" applyFill="1" applyBorder="1"/>
    <xf numFmtId="0" fontId="0" fillId="2" borderId="22" xfId="0" applyFill="1" applyBorder="1"/>
    <xf numFmtId="0" fontId="0" fillId="2" borderId="23" xfId="0" applyFill="1" applyBorder="1" applyAlignment="1">
      <alignment horizontal="center"/>
    </xf>
    <xf numFmtId="0" fontId="12" fillId="0" borderId="0" xfId="1" applyNumberFormat="1" applyFont="1"/>
    <xf numFmtId="0" fontId="0" fillId="0" borderId="0" xfId="1" applyNumberFormat="1" applyFont="1"/>
    <xf numFmtId="0" fontId="5" fillId="0" borderId="0" xfId="1" applyNumberFormat="1" applyFont="1"/>
    <xf numFmtId="0" fontId="3" fillId="0" borderId="1" xfId="1" applyNumberFormat="1" applyFont="1" applyBorder="1"/>
    <xf numFmtId="43" fontId="3" fillId="0" borderId="1" xfId="1" applyFont="1" applyBorder="1"/>
    <xf numFmtId="0" fontId="5" fillId="0" borderId="1" xfId="0" applyFont="1" applyBorder="1"/>
    <xf numFmtId="43" fontId="0" fillId="0" borderId="0" xfId="1" applyFont="1" applyAlignment="1">
      <alignment horizontal="right"/>
    </xf>
    <xf numFmtId="0" fontId="3" fillId="0" borderId="25" xfId="0" applyFont="1" applyBorder="1"/>
    <xf numFmtId="0" fontId="3" fillId="0" borderId="26" xfId="0" applyFont="1" applyBorder="1"/>
    <xf numFmtId="0" fontId="3" fillId="0" borderId="27" xfId="0" applyFont="1" applyBorder="1"/>
    <xf numFmtId="10" fontId="2" fillId="3" borderId="7" xfId="3" applyNumberFormat="1" applyFont="1" applyFill="1" applyBorder="1" applyAlignment="1">
      <alignment horizontal="center"/>
    </xf>
    <xf numFmtId="166" fontId="1" fillId="2" borderId="0" xfId="3" applyNumberFormat="1" applyFill="1"/>
    <xf numFmtId="164" fontId="2" fillId="3" borderId="21" xfId="1" applyNumberFormat="1" applyFont="1" applyFill="1" applyBorder="1"/>
    <xf numFmtId="44" fontId="2" fillId="3" borderId="8" xfId="2" applyFont="1" applyFill="1" applyBorder="1"/>
    <xf numFmtId="165" fontId="1" fillId="2" borderId="6" xfId="2" applyNumberFormat="1" applyFill="1" applyBorder="1"/>
    <xf numFmtId="165" fontId="1" fillId="2" borderId="21" xfId="2" applyNumberFormat="1" applyFill="1" applyBorder="1"/>
    <xf numFmtId="165" fontId="0" fillId="2" borderId="21" xfId="0" applyNumberFormat="1" applyFill="1" applyBorder="1"/>
    <xf numFmtId="164" fontId="2" fillId="3" borderId="23" xfId="1" applyNumberFormat="1" applyFont="1" applyFill="1" applyBorder="1"/>
    <xf numFmtId="44" fontId="2" fillId="3" borderId="2" xfId="2" applyFont="1" applyFill="1" applyBorder="1"/>
    <xf numFmtId="165" fontId="1" fillId="2" borderId="9" xfId="2" applyNumberFormat="1" applyFill="1" applyBorder="1"/>
    <xf numFmtId="165" fontId="1" fillId="2" borderId="23" xfId="2" applyNumberFormat="1" applyFill="1" applyBorder="1"/>
    <xf numFmtId="0" fontId="0" fillId="2" borderId="22" xfId="0" applyFill="1" applyBorder="1" applyAlignment="1">
      <alignment horizontal="center"/>
    </xf>
    <xf numFmtId="164" fontId="2" fillId="3" borderId="22" xfId="1" applyNumberFormat="1" applyFont="1" applyFill="1" applyBorder="1"/>
    <xf numFmtId="44" fontId="2" fillId="3" borderId="3" xfId="2" applyFont="1" applyFill="1" applyBorder="1"/>
    <xf numFmtId="165" fontId="1" fillId="2" borderId="10" xfId="2" applyNumberFormat="1" applyFill="1" applyBorder="1"/>
    <xf numFmtId="165" fontId="1" fillId="2" borderId="22" xfId="2" applyNumberFormat="1" applyFill="1" applyBorder="1"/>
    <xf numFmtId="165" fontId="0" fillId="2" borderId="22" xfId="0" applyNumberFormat="1" applyFill="1" applyBorder="1"/>
    <xf numFmtId="0" fontId="0" fillId="2" borderId="14" xfId="0" applyFill="1" applyBorder="1"/>
    <xf numFmtId="0" fontId="0" fillId="2" borderId="19" xfId="0" applyFill="1" applyBorder="1"/>
    <xf numFmtId="0" fontId="0" fillId="2" borderId="12" xfId="0" applyFill="1" applyBorder="1"/>
    <xf numFmtId="43" fontId="3" fillId="2" borderId="0" xfId="1" applyFont="1" applyFill="1" applyBorder="1"/>
    <xf numFmtId="0" fontId="0" fillId="2" borderId="15" xfId="0" applyFill="1" applyBorder="1"/>
    <xf numFmtId="43" fontId="1" fillId="2" borderId="0" xfId="1" applyFill="1" applyBorder="1"/>
    <xf numFmtId="6" fontId="0" fillId="2" borderId="0" xfId="0" applyNumberFormat="1" applyFill="1"/>
    <xf numFmtId="6" fontId="14" fillId="2" borderId="0" xfId="0" applyNumberFormat="1" applyFont="1" applyFill="1"/>
    <xf numFmtId="166" fontId="1" fillId="2" borderId="0" xfId="3" applyNumberFormat="1" applyFill="1" applyBorder="1"/>
    <xf numFmtId="0" fontId="0" fillId="2" borderId="13" xfId="0" applyFill="1" applyBorder="1"/>
    <xf numFmtId="43" fontId="3" fillId="2" borderId="16" xfId="1" applyFont="1" applyFill="1" applyBorder="1"/>
    <xf numFmtId="166" fontId="1" fillId="2" borderId="16" xfId="3" applyNumberFormat="1" applyFill="1" applyBorder="1"/>
    <xf numFmtId="0" fontId="0" fillId="2" borderId="17" xfId="0" applyFill="1" applyBorder="1"/>
    <xf numFmtId="0" fontId="19" fillId="0" borderId="0" xfId="0" applyFont="1" applyAlignment="1">
      <alignment horizontal="center"/>
    </xf>
    <xf numFmtId="43" fontId="20" fillId="0" borderId="0" xfId="1" applyFont="1" applyFill="1"/>
    <xf numFmtId="0" fontId="6" fillId="0" borderId="0" xfId="0" applyFont="1"/>
    <xf numFmtId="165" fontId="3" fillId="0" borderId="0" xfId="0" applyNumberFormat="1" applyFont="1"/>
    <xf numFmtId="170" fontId="21" fillId="0" borderId="0" xfId="0" applyNumberFormat="1" applyFont="1"/>
    <xf numFmtId="165" fontId="3" fillId="0" borderId="28" xfId="0" applyNumberFormat="1" applyFont="1" applyBorder="1"/>
    <xf numFmtId="170" fontId="1" fillId="0" borderId="0" xfId="2" applyNumberFormat="1" applyFill="1"/>
    <xf numFmtId="0" fontId="6" fillId="0" borderId="0" xfId="0" applyFont="1" applyAlignment="1">
      <alignment horizontal="centerContinuous"/>
    </xf>
    <xf numFmtId="17" fontId="6" fillId="0" borderId="1" xfId="0" quotePrefix="1" applyNumberFormat="1" applyFont="1" applyBorder="1" applyAlignment="1">
      <alignment horizontal="centerContinuous"/>
    </xf>
    <xf numFmtId="15" fontId="6" fillId="0" borderId="1" xfId="0" quotePrefix="1" applyNumberFormat="1" applyFont="1" applyBorder="1" applyAlignment="1">
      <alignment horizontal="centerContinuous"/>
    </xf>
    <xf numFmtId="15" fontId="6" fillId="0" borderId="0" xfId="0" quotePrefix="1" applyNumberFormat="1" applyFont="1" applyAlignment="1">
      <alignment horizontal="centerContinuous"/>
    </xf>
    <xf numFmtId="14" fontId="3" fillId="0" borderId="0" xfId="0" applyNumberFormat="1" applyFont="1" applyAlignment="1">
      <alignment horizontal="right"/>
    </xf>
    <xf numFmtId="43" fontId="3" fillId="0" borderId="0" xfId="1" applyFont="1" applyFill="1"/>
    <xf numFmtId="165" fontId="4" fillId="0" borderId="4" xfId="2" applyNumberFormat="1" applyFont="1" applyFill="1" applyBorder="1" applyAlignment="1">
      <alignment horizontal="right"/>
    </xf>
    <xf numFmtId="165" fontId="4" fillId="0" borderId="0" xfId="2" applyNumberFormat="1" applyFont="1" applyFill="1" applyBorder="1" applyAlignment="1">
      <alignment horizontal="right"/>
    </xf>
    <xf numFmtId="165" fontId="1" fillId="0" borderId="0" xfId="2" applyNumberFormat="1" applyFill="1"/>
    <xf numFmtId="43" fontId="5" fillId="0" borderId="0" xfId="1" applyFont="1" applyFill="1"/>
    <xf numFmtId="165" fontId="2" fillId="0" borderId="0" xfId="2" applyNumberFormat="1" applyFont="1" applyFill="1" applyAlignment="1">
      <alignment horizontal="right"/>
    </xf>
    <xf numFmtId="165" fontId="2" fillId="0" borderId="0" xfId="2" quotePrefix="1" applyNumberFormat="1" applyFont="1" applyFill="1" applyAlignment="1">
      <alignment horizontal="right"/>
    </xf>
    <xf numFmtId="43" fontId="1" fillId="0" borderId="0" xfId="1" applyFill="1"/>
    <xf numFmtId="0" fontId="0" fillId="0" borderId="0" xfId="0" applyAlignment="1">
      <alignment horizontal="right"/>
    </xf>
    <xf numFmtId="165" fontId="3" fillId="0" borderId="28" xfId="0" applyNumberFormat="1" applyFont="1" applyBorder="1" applyAlignment="1">
      <alignment horizontal="right"/>
    </xf>
    <xf numFmtId="0" fontId="3" fillId="0" borderId="0" xfId="0" applyFont="1" applyAlignment="1">
      <alignment horizontal="right"/>
    </xf>
    <xf numFmtId="165" fontId="3" fillId="0" borderId="0" xfId="0" applyNumberFormat="1" applyFont="1" applyAlignment="1">
      <alignment horizontal="right"/>
    </xf>
    <xf numFmtId="9" fontId="3" fillId="0" borderId="0" xfId="3" applyFont="1" applyFill="1" applyAlignment="1">
      <alignment horizontal="right"/>
    </xf>
    <xf numFmtId="167" fontId="0" fillId="0" borderId="0" xfId="1" applyNumberFormat="1" applyFont="1" applyFill="1"/>
    <xf numFmtId="165" fontId="0" fillId="0" borderId="0" xfId="2" applyNumberFormat="1" applyFont="1" applyFill="1"/>
    <xf numFmtId="165" fontId="0" fillId="0" borderId="0" xfId="2" applyNumberFormat="1" applyFont="1" applyFill="1" applyAlignment="1">
      <alignment horizontal="right"/>
    </xf>
    <xf numFmtId="165" fontId="2" fillId="0" borderId="0" xfId="2" applyNumberFormat="1" applyFont="1" applyFill="1"/>
    <xf numFmtId="0" fontId="4" fillId="0" borderId="0" xfId="0" applyFont="1"/>
    <xf numFmtId="165" fontId="4" fillId="0" borderId="0" xfId="0" applyNumberFormat="1" applyFont="1" applyAlignment="1">
      <alignment horizontal="right"/>
    </xf>
    <xf numFmtId="165" fontId="4" fillId="0" borderId="7" xfId="2" applyNumberFormat="1" applyFont="1" applyFill="1" applyBorder="1" applyAlignment="1">
      <alignment horizontal="right"/>
    </xf>
    <xf numFmtId="165" fontId="2" fillId="0" borderId="0" xfId="0" applyNumberFormat="1" applyFont="1"/>
    <xf numFmtId="165" fontId="2" fillId="0" borderId="1" xfId="0" applyNumberFormat="1" applyFont="1" applyBorder="1"/>
    <xf numFmtId="169" fontId="4" fillId="3" borderId="4" xfId="3" applyNumberFormat="1" applyFont="1" applyFill="1" applyBorder="1" applyAlignment="1">
      <alignment horizontal="right"/>
    </xf>
    <xf numFmtId="0" fontId="3" fillId="2" borderId="21" xfId="0" applyFont="1" applyFill="1" applyBorder="1" applyAlignment="1">
      <alignment horizontal="center"/>
    </xf>
    <xf numFmtId="0" fontId="3" fillId="2" borderId="8" xfId="0" applyFont="1" applyFill="1" applyBorder="1" applyAlignment="1">
      <alignment horizontal="center"/>
    </xf>
    <xf numFmtId="0" fontId="3" fillId="2" borderId="6" xfId="0" applyFont="1" applyFill="1" applyBorder="1" applyAlignment="1">
      <alignment horizontal="center"/>
    </xf>
    <xf numFmtId="0" fontId="3" fillId="2" borderId="23" xfId="0" applyFont="1" applyFill="1" applyBorder="1" applyAlignment="1">
      <alignment horizontal="center"/>
    </xf>
    <xf numFmtId="44" fontId="12" fillId="2" borderId="1" xfId="2" applyFont="1" applyFill="1" applyBorder="1"/>
    <xf numFmtId="0" fontId="6" fillId="0" borderId="0" xfId="0" applyFont="1" applyAlignment="1">
      <alignment horizontal="centerContinuous" wrapText="1"/>
    </xf>
    <xf numFmtId="0" fontId="3" fillId="2" borderId="22" xfId="0" applyFont="1" applyFill="1" applyBorder="1" applyAlignment="1">
      <alignment horizontal="center"/>
    </xf>
    <xf numFmtId="0" fontId="3" fillId="2" borderId="3" xfId="0" applyFont="1" applyFill="1" applyBorder="1" applyAlignment="1">
      <alignment horizontal="center"/>
    </xf>
    <xf numFmtId="0" fontId="3" fillId="2" borderId="10" xfId="0" applyFont="1" applyFill="1" applyBorder="1" applyAlignment="1">
      <alignment horizontal="center"/>
    </xf>
    <xf numFmtId="0" fontId="23" fillId="2" borderId="23" xfId="0" applyFont="1" applyFill="1" applyBorder="1" applyAlignment="1">
      <alignment horizontal="center"/>
    </xf>
    <xf numFmtId="0" fontId="22" fillId="2" borderId="23" xfId="0" applyFont="1" applyFill="1" applyBorder="1" applyAlignment="1">
      <alignment horizontal="center"/>
    </xf>
    <xf numFmtId="0" fontId="22" fillId="2" borderId="2" xfId="0" applyFont="1" applyFill="1" applyBorder="1" applyAlignment="1">
      <alignment horizontal="center"/>
    </xf>
    <xf numFmtId="0" fontId="23" fillId="2" borderId="9" xfId="0" applyFont="1" applyFill="1" applyBorder="1" applyAlignment="1">
      <alignment horizontal="center"/>
    </xf>
    <xf numFmtId="0" fontId="3" fillId="0" borderId="1" xfId="0" applyFont="1" applyBorder="1" applyAlignment="1">
      <alignment horizontal="left"/>
    </xf>
    <xf numFmtId="0" fontId="8" fillId="2" borderId="0" xfId="0" applyFont="1" applyFill="1" applyAlignment="1">
      <alignment horizontal="center"/>
    </xf>
    <xf numFmtId="43" fontId="10" fillId="0" borderId="8" xfId="1" quotePrefix="1" applyFont="1" applyBorder="1" applyAlignment="1">
      <alignment horizontal="center"/>
    </xf>
    <xf numFmtId="43" fontId="10" fillId="0" borderId="5" xfId="1" quotePrefix="1" applyFont="1" applyBorder="1" applyAlignment="1">
      <alignment horizontal="center"/>
    </xf>
    <xf numFmtId="43" fontId="10" fillId="0" borderId="6" xfId="1" quotePrefix="1" applyFont="1" applyBorder="1" applyAlignment="1">
      <alignment horizontal="center"/>
    </xf>
    <xf numFmtId="0" fontId="3" fillId="0" borderId="25" xfId="0" applyFont="1" applyBorder="1" applyAlignment="1">
      <alignment horizontal="center"/>
    </xf>
    <xf numFmtId="0" fontId="3" fillId="0" borderId="26" xfId="0" applyFont="1" applyBorder="1" applyAlignment="1">
      <alignment horizontal="center"/>
    </xf>
    <xf numFmtId="0" fontId="3" fillId="0" borderId="27" xfId="0" applyFont="1" applyBorder="1" applyAlignment="1">
      <alignment horizontal="center"/>
    </xf>
    <xf numFmtId="0" fontId="7" fillId="0" borderId="0" xfId="0" applyFont="1" applyAlignment="1">
      <alignment horizontal="center"/>
    </xf>
    <xf numFmtId="0" fontId="9" fillId="2" borderId="0" xfId="0" applyFont="1" applyFill="1" applyAlignment="1">
      <alignment horizontal="center"/>
    </xf>
    <xf numFmtId="43" fontId="10" fillId="2" borderId="0" xfId="1" applyFont="1" applyFill="1" applyAlignment="1">
      <alignment horizontal="left"/>
    </xf>
    <xf numFmtId="43" fontId="10" fillId="2" borderId="2" xfId="1" applyFont="1" applyFill="1" applyBorder="1" applyAlignment="1">
      <alignment horizontal="center"/>
    </xf>
    <xf numFmtId="43" fontId="10" fillId="2" borderId="0" xfId="1" applyFont="1" applyFill="1" applyBorder="1" applyAlignment="1">
      <alignment horizontal="center"/>
    </xf>
    <xf numFmtId="43" fontId="10" fillId="2" borderId="9" xfId="1" applyFont="1" applyFill="1" applyBorder="1" applyAlignment="1">
      <alignment horizontal="center"/>
    </xf>
    <xf numFmtId="0" fontId="7" fillId="2" borderId="0" xfId="0" applyFont="1" applyFill="1" applyAlignment="1">
      <alignment horizontal="center"/>
    </xf>
    <xf numFmtId="0" fontId="3" fillId="2" borderId="0" xfId="0" applyFont="1" applyFill="1" applyAlignment="1">
      <alignment horizontal="left"/>
    </xf>
    <xf numFmtId="0" fontId="3" fillId="2" borderId="25" xfId="0" applyFont="1" applyFill="1" applyBorder="1" applyAlignment="1">
      <alignment horizontal="center"/>
    </xf>
    <xf numFmtId="0" fontId="3" fillId="2" borderId="26" xfId="0" applyFont="1" applyFill="1" applyBorder="1" applyAlignment="1">
      <alignment horizontal="center"/>
    </xf>
    <xf numFmtId="0" fontId="3" fillId="2" borderId="27" xfId="0" applyFont="1" applyFill="1" applyBorder="1" applyAlignment="1">
      <alignment horizontal="center"/>
    </xf>
    <xf numFmtId="43" fontId="10" fillId="2" borderId="0" xfId="1" applyFont="1" applyFill="1" applyAlignment="1">
      <alignment horizontal="center" wrapText="1"/>
    </xf>
    <xf numFmtId="0" fontId="3" fillId="2" borderId="20" xfId="0" applyFont="1" applyFill="1" applyBorder="1" applyAlignment="1">
      <alignment horizontal="center"/>
    </xf>
    <xf numFmtId="0" fontId="3" fillId="2" borderId="11" xfId="0" applyFont="1" applyFill="1" applyBorder="1" applyAlignment="1">
      <alignment horizontal="center"/>
    </xf>
    <xf numFmtId="0" fontId="3" fillId="2" borderId="24" xfId="0" applyFont="1" applyFill="1" applyBorder="1" applyAlignment="1">
      <alignment horizontal="center"/>
    </xf>
    <xf numFmtId="43" fontId="20" fillId="0" borderId="1" xfId="1" applyFont="1" applyFill="1" applyBorder="1" applyAlignment="1">
      <alignment horizontal="left"/>
    </xf>
    <xf numFmtId="0" fontId="3" fillId="2" borderId="0" xfId="0" applyFont="1" applyFill="1" applyAlignment="1">
      <alignment horizontal="center"/>
    </xf>
  </cellXfs>
  <cellStyles count="4">
    <cellStyle name="Comma" xfId="1" builtinId="3"/>
    <cellStyle name="Currency" xfId="2" builtinId="4"/>
    <cellStyle name="Normal" xfId="0" builtinId="0"/>
    <cellStyle name="Percent" xfId="3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13" Type="http://schemas.openxmlformats.org/officeDocument/2006/relationships/externalLink" Target="externalLinks/externalLink6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6.xml"/><Relationship Id="rId12" Type="http://schemas.openxmlformats.org/officeDocument/2006/relationships/externalLink" Target="externalLinks/externalLink5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chartsheet" Target="chartsheets/sheet1.xml"/><Relationship Id="rId11" Type="http://schemas.openxmlformats.org/officeDocument/2006/relationships/externalLink" Target="externalLinks/externalLink4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externalLink" Target="externalLinks/externalLink3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2.xml"/><Relationship Id="rId1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8779134295227528E-2"/>
          <c:y val="0.13539967373572595"/>
          <c:w val="0.8446170921198668"/>
          <c:h val="0.70146818923327892"/>
        </c:manualLayout>
      </c:layout>
      <c:lineChart>
        <c:grouping val="standard"/>
        <c:varyColors val="0"/>
        <c:ser>
          <c:idx val="0"/>
          <c:order val="0"/>
          <c:tx>
            <c:strRef>
              <c:f>[6]Valuation!$B$87</c:f>
              <c:strCache>
                <c:ptCount val="1"/>
                <c:pt idx="0">
                  <c:v>Cost of Contract Purchase (Status Quo)</c:v>
                </c:pt>
              </c:strCache>
            </c:strRef>
          </c:tx>
          <c:spPr>
            <a:ln w="38100">
              <a:solidFill>
                <a:srgbClr val="0000FF"/>
              </a:solidFill>
              <a:prstDash val="solid"/>
            </a:ln>
          </c:spPr>
          <c:marker>
            <c:symbol val="none"/>
          </c:marker>
          <c:cat>
            <c:numRef>
              <c:f>[6]Valuation!$H$9:$AQ$9</c:f>
              <c:numCache>
                <c:formatCode>General</c:formatCode>
                <c:ptCount val="36"/>
                <c:pt idx="0">
                  <c:v>2001</c:v>
                </c:pt>
                <c:pt idx="1">
                  <c:v>2002</c:v>
                </c:pt>
                <c:pt idx="2">
                  <c:v>2003</c:v>
                </c:pt>
                <c:pt idx="3">
                  <c:v>2004</c:v>
                </c:pt>
                <c:pt idx="4">
                  <c:v>2005</c:v>
                </c:pt>
                <c:pt idx="5">
                  <c:v>2006</c:v>
                </c:pt>
                <c:pt idx="6">
                  <c:v>2007</c:v>
                </c:pt>
                <c:pt idx="7">
                  <c:v>2008</c:v>
                </c:pt>
                <c:pt idx="8">
                  <c:v>2009</c:v>
                </c:pt>
                <c:pt idx="9">
                  <c:v>2010</c:v>
                </c:pt>
                <c:pt idx="10">
                  <c:v>2011</c:v>
                </c:pt>
                <c:pt idx="11">
                  <c:v>2012</c:v>
                </c:pt>
                <c:pt idx="12">
                  <c:v>2013</c:v>
                </c:pt>
                <c:pt idx="13">
                  <c:v>2014</c:v>
                </c:pt>
                <c:pt idx="14">
                  <c:v>2015</c:v>
                </c:pt>
                <c:pt idx="15">
                  <c:v>2016</c:v>
                </c:pt>
                <c:pt idx="16">
                  <c:v>2017</c:v>
                </c:pt>
                <c:pt idx="17">
                  <c:v>2018</c:v>
                </c:pt>
                <c:pt idx="18">
                  <c:v>2019</c:v>
                </c:pt>
                <c:pt idx="19">
                  <c:v>2020</c:v>
                </c:pt>
                <c:pt idx="20">
                  <c:v>2021</c:v>
                </c:pt>
                <c:pt idx="21">
                  <c:v>2022</c:v>
                </c:pt>
                <c:pt idx="22">
                  <c:v>2023</c:v>
                </c:pt>
                <c:pt idx="23">
                  <c:v>2024</c:v>
                </c:pt>
                <c:pt idx="24">
                  <c:v>2025</c:v>
                </c:pt>
                <c:pt idx="25">
                  <c:v>2026</c:v>
                </c:pt>
                <c:pt idx="26">
                  <c:v>2027</c:v>
                </c:pt>
                <c:pt idx="27">
                  <c:v>2028</c:v>
                </c:pt>
                <c:pt idx="28">
                  <c:v>2029</c:v>
                </c:pt>
                <c:pt idx="29">
                  <c:v>2030</c:v>
                </c:pt>
                <c:pt idx="30">
                  <c:v>2031</c:v>
                </c:pt>
                <c:pt idx="31">
                  <c:v>2032</c:v>
                </c:pt>
                <c:pt idx="32">
                  <c:v>2033</c:v>
                </c:pt>
                <c:pt idx="33">
                  <c:v>2034</c:v>
                </c:pt>
                <c:pt idx="34">
                  <c:v>2035</c:v>
                </c:pt>
                <c:pt idx="35">
                  <c:v>2036</c:v>
                </c:pt>
              </c:numCache>
            </c:numRef>
          </c:cat>
          <c:val>
            <c:numRef>
              <c:f>[6]Valuation!$H$87:$AQ$87</c:f>
              <c:numCache>
                <c:formatCode>General</c:formatCode>
                <c:ptCount val="36"/>
                <c:pt idx="0">
                  <c:v>43.437338410741589</c:v>
                </c:pt>
                <c:pt idx="1">
                  <c:v>44.677346140453565</c:v>
                </c:pt>
                <c:pt idx="2">
                  <c:v>46.832884503779653</c:v>
                </c:pt>
                <c:pt idx="3">
                  <c:v>48.881466038847364</c:v>
                </c:pt>
                <c:pt idx="4">
                  <c:v>50.723324949188857</c:v>
                </c:pt>
                <c:pt idx="5">
                  <c:v>53.001626116548252</c:v>
                </c:pt>
                <c:pt idx="6">
                  <c:v>51.835918927809061</c:v>
                </c:pt>
                <c:pt idx="7">
                  <c:v>53.175204029183149</c:v>
                </c:pt>
                <c:pt idx="8">
                  <c:v>54.596897821612416</c:v>
                </c:pt>
                <c:pt idx="9">
                  <c:v>56.104739900597508</c:v>
                </c:pt>
                <c:pt idx="10">
                  <c:v>57.778071219693594</c:v>
                </c:pt>
                <c:pt idx="11">
                  <c:v>59.466714354559109</c:v>
                </c:pt>
                <c:pt idx="12">
                  <c:v>61.125067795442412</c:v>
                </c:pt>
                <c:pt idx="13">
                  <c:v>61.982972202301667</c:v>
                </c:pt>
                <c:pt idx="14">
                  <c:v>62.743269161933945</c:v>
                </c:pt>
                <c:pt idx="15">
                  <c:v>63.593360942423239</c:v>
                </c:pt>
                <c:pt idx="16">
                  <c:v>66.081049107759441</c:v>
                </c:pt>
                <c:pt idx="17">
                  <c:v>67.716912836377603</c:v>
                </c:pt>
                <c:pt idx="18">
                  <c:v>69.443926921914993</c:v>
                </c:pt>
                <c:pt idx="19">
                  <c:v>37.96162736281088</c:v>
                </c:pt>
                <c:pt idx="20">
                  <c:v>38.350144993374705</c:v>
                </c:pt>
                <c:pt idx="21">
                  <c:v>41.082993612688682</c:v>
                </c:pt>
                <c:pt idx="22">
                  <c:v>40.535712883254888</c:v>
                </c:pt>
                <c:pt idx="23">
                  <c:v>41.622176672062622</c:v>
                </c:pt>
                <c:pt idx="24">
                  <c:v>46.595264694329273</c:v>
                </c:pt>
                <c:pt idx="25">
                  <c:v>43.984405552191703</c:v>
                </c:pt>
                <c:pt idx="26">
                  <c:v>44.507275489217221</c:v>
                </c:pt>
                <c:pt idx="27">
                  <c:v>47.439389318901029</c:v>
                </c:pt>
                <c:pt idx="28">
                  <c:v>47.054838426099508</c:v>
                </c:pt>
                <c:pt idx="29">
                  <c:v>48.349562077306686</c:v>
                </c:pt>
                <c:pt idx="30">
                  <c:v>53.601236032200873</c:v>
                </c:pt>
                <c:pt idx="31">
                  <c:v>51.066617558912249</c:v>
                </c:pt>
                <c:pt idx="32">
                  <c:v>51.798531390189879</c:v>
                </c:pt>
                <c:pt idx="33">
                  <c:v>55.014549474889598</c:v>
                </c:pt>
                <c:pt idx="34">
                  <c:v>54.779618115272335</c:v>
                </c:pt>
                <c:pt idx="35">
                  <c:v>56.279606802527297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CD5-49E9-9EE5-AF83538C0EF0}"/>
            </c:ext>
          </c:extLst>
        </c:ser>
        <c:ser>
          <c:idx val="1"/>
          <c:order val="1"/>
          <c:tx>
            <c:strRef>
              <c:f>[6]Valuation!$A$39</c:f>
              <c:strCache>
                <c:ptCount val="1"/>
                <c:pt idx="0">
                  <c:v>Market Price - ERCOT 7x24 w/Wheeling (Pace)</c:v>
                </c:pt>
              </c:strCache>
            </c:strRef>
          </c:tx>
          <c:spPr>
            <a:ln w="38100">
              <a:solidFill>
                <a:srgbClr val="008000"/>
              </a:solidFill>
              <a:prstDash val="solid"/>
            </a:ln>
          </c:spPr>
          <c:marker>
            <c:symbol val="none"/>
          </c:marker>
          <c:cat>
            <c:numRef>
              <c:f>[6]Valuation!$H$9:$AQ$9</c:f>
              <c:numCache>
                <c:formatCode>General</c:formatCode>
                <c:ptCount val="36"/>
                <c:pt idx="0">
                  <c:v>2001</c:v>
                </c:pt>
                <c:pt idx="1">
                  <c:v>2002</c:v>
                </c:pt>
                <c:pt idx="2">
                  <c:v>2003</c:v>
                </c:pt>
                <c:pt idx="3">
                  <c:v>2004</c:v>
                </c:pt>
                <c:pt idx="4">
                  <c:v>2005</c:v>
                </c:pt>
                <c:pt idx="5">
                  <c:v>2006</c:v>
                </c:pt>
                <c:pt idx="6">
                  <c:v>2007</c:v>
                </c:pt>
                <c:pt idx="7">
                  <c:v>2008</c:v>
                </c:pt>
                <c:pt idx="8">
                  <c:v>2009</c:v>
                </c:pt>
                <c:pt idx="9">
                  <c:v>2010</c:v>
                </c:pt>
                <c:pt idx="10">
                  <c:v>2011</c:v>
                </c:pt>
                <c:pt idx="11">
                  <c:v>2012</c:v>
                </c:pt>
                <c:pt idx="12">
                  <c:v>2013</c:v>
                </c:pt>
                <c:pt idx="13">
                  <c:v>2014</c:v>
                </c:pt>
                <c:pt idx="14">
                  <c:v>2015</c:v>
                </c:pt>
                <c:pt idx="15">
                  <c:v>2016</c:v>
                </c:pt>
                <c:pt idx="16">
                  <c:v>2017</c:v>
                </c:pt>
                <c:pt idx="17">
                  <c:v>2018</c:v>
                </c:pt>
                <c:pt idx="18">
                  <c:v>2019</c:v>
                </c:pt>
                <c:pt idx="19">
                  <c:v>2020</c:v>
                </c:pt>
                <c:pt idx="20">
                  <c:v>2021</c:v>
                </c:pt>
                <c:pt idx="21">
                  <c:v>2022</c:v>
                </c:pt>
                <c:pt idx="22">
                  <c:v>2023</c:v>
                </c:pt>
                <c:pt idx="23">
                  <c:v>2024</c:v>
                </c:pt>
                <c:pt idx="24">
                  <c:v>2025</c:v>
                </c:pt>
                <c:pt idx="25">
                  <c:v>2026</c:v>
                </c:pt>
                <c:pt idx="26">
                  <c:v>2027</c:v>
                </c:pt>
                <c:pt idx="27">
                  <c:v>2028</c:v>
                </c:pt>
                <c:pt idx="28">
                  <c:v>2029</c:v>
                </c:pt>
                <c:pt idx="29">
                  <c:v>2030</c:v>
                </c:pt>
                <c:pt idx="30">
                  <c:v>2031</c:v>
                </c:pt>
                <c:pt idx="31">
                  <c:v>2032</c:v>
                </c:pt>
                <c:pt idx="32">
                  <c:v>2033</c:v>
                </c:pt>
                <c:pt idx="33">
                  <c:v>2034</c:v>
                </c:pt>
                <c:pt idx="34">
                  <c:v>2035</c:v>
                </c:pt>
                <c:pt idx="35">
                  <c:v>2036</c:v>
                </c:pt>
              </c:numCache>
            </c:numRef>
          </c:cat>
          <c:val>
            <c:numRef>
              <c:f>[6]Valuation!$H$39:$AQ$39</c:f>
              <c:numCache>
                <c:formatCode>General</c:formatCode>
                <c:ptCount val="36"/>
                <c:pt idx="0">
                  <c:v>37.242367045424324</c:v>
                </c:pt>
                <c:pt idx="1">
                  <c:v>31.113730703956207</c:v>
                </c:pt>
                <c:pt idx="2">
                  <c:v>29.951771706852913</c:v>
                </c:pt>
                <c:pt idx="3">
                  <c:v>31.523412257672124</c:v>
                </c:pt>
                <c:pt idx="4">
                  <c:v>33.935229099445905</c:v>
                </c:pt>
                <c:pt idx="5">
                  <c:v>35.092072014523161</c:v>
                </c:pt>
                <c:pt idx="6">
                  <c:v>36.91360485180823</c:v>
                </c:pt>
                <c:pt idx="7">
                  <c:v>39.73241117254733</c:v>
                </c:pt>
                <c:pt idx="8">
                  <c:v>40.612389068550648</c:v>
                </c:pt>
                <c:pt idx="9">
                  <c:v>41.659400526072069</c:v>
                </c:pt>
                <c:pt idx="10">
                  <c:v>42.886850640474215</c:v>
                </c:pt>
                <c:pt idx="11">
                  <c:v>43.641232880530993</c:v>
                </c:pt>
                <c:pt idx="12">
                  <c:v>44.600722026511448</c:v>
                </c:pt>
                <c:pt idx="13">
                  <c:v>46.437335059612842</c:v>
                </c:pt>
                <c:pt idx="14">
                  <c:v>45.134710212582107</c:v>
                </c:pt>
                <c:pt idx="15">
                  <c:v>45.980703480541258</c:v>
                </c:pt>
                <c:pt idx="16">
                  <c:v>46.719347296062317</c:v>
                </c:pt>
                <c:pt idx="17">
                  <c:v>47.291516630540663</c:v>
                </c:pt>
                <c:pt idx="18">
                  <c:v>48.916753587034229</c:v>
                </c:pt>
                <c:pt idx="19">
                  <c:v>49.912469419476565</c:v>
                </c:pt>
                <c:pt idx="20">
                  <c:v>50.928453359392805</c:v>
                </c:pt>
                <c:pt idx="21">
                  <c:v>51.965117970455417</c:v>
                </c:pt>
                <c:pt idx="22">
                  <c:v>53.022884214199586</c:v>
                </c:pt>
                <c:pt idx="23">
                  <c:v>54.102181620964316</c:v>
                </c:pt>
                <c:pt idx="24">
                  <c:v>55.203448464313134</c:v>
                </c:pt>
                <c:pt idx="25">
                  <c:v>56.327131939005142</c:v>
                </c:pt>
                <c:pt idx="26">
                  <c:v>57.473688342588758</c:v>
                </c:pt>
                <c:pt idx="27">
                  <c:v>58.643583260691848</c:v>
                </c:pt>
                <c:pt idx="28">
                  <c:v>59.837291756083474</c:v>
                </c:pt>
                <c:pt idx="29">
                  <c:v>61.055298561584074</c:v>
                </c:pt>
                <c:pt idx="30">
                  <c:v>62.298098276902408</c:v>
                </c:pt>
                <c:pt idx="31">
                  <c:v>63.566195569479127</c:v>
                </c:pt>
                <c:pt idx="32">
                  <c:v>64.860105379418613</c:v>
                </c:pt>
                <c:pt idx="33">
                  <c:v>66.180353128592301</c:v>
                </c:pt>
                <c:pt idx="34">
                  <c:v>67.527474933998263</c:v>
                </c:pt>
                <c:pt idx="35">
                  <c:v>68.902017825463929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CD5-49E9-9EE5-AF83538C0EF0}"/>
            </c:ext>
          </c:extLst>
        </c:ser>
        <c:ser>
          <c:idx val="2"/>
          <c:order val="2"/>
          <c:tx>
            <c:strRef>
              <c:f>[6]Valuation!$B$317</c:f>
              <c:strCache>
                <c:ptCount val="1"/>
                <c:pt idx="0">
                  <c:v>Ownership/Operation (Saves $121.7 MM or 47%)</c:v>
                </c:pt>
              </c:strCache>
            </c:strRef>
          </c:tx>
          <c:spPr>
            <a:ln w="38100">
              <a:solidFill>
                <a:srgbClr val="FF0000"/>
              </a:solidFill>
              <a:prstDash val="solid"/>
            </a:ln>
          </c:spPr>
          <c:marker>
            <c:symbol val="none"/>
          </c:marker>
          <c:cat>
            <c:numRef>
              <c:f>[6]Valuation!$H$9:$AQ$9</c:f>
              <c:numCache>
                <c:formatCode>General</c:formatCode>
                <c:ptCount val="36"/>
                <c:pt idx="0">
                  <c:v>2001</c:v>
                </c:pt>
                <c:pt idx="1">
                  <c:v>2002</c:v>
                </c:pt>
                <c:pt idx="2">
                  <c:v>2003</c:v>
                </c:pt>
                <c:pt idx="3">
                  <c:v>2004</c:v>
                </c:pt>
                <c:pt idx="4">
                  <c:v>2005</c:v>
                </c:pt>
                <c:pt idx="5">
                  <c:v>2006</c:v>
                </c:pt>
                <c:pt idx="6">
                  <c:v>2007</c:v>
                </c:pt>
                <c:pt idx="7">
                  <c:v>2008</c:v>
                </c:pt>
                <c:pt idx="8">
                  <c:v>2009</c:v>
                </c:pt>
                <c:pt idx="9">
                  <c:v>2010</c:v>
                </c:pt>
                <c:pt idx="10">
                  <c:v>2011</c:v>
                </c:pt>
                <c:pt idx="11">
                  <c:v>2012</c:v>
                </c:pt>
                <c:pt idx="12">
                  <c:v>2013</c:v>
                </c:pt>
                <c:pt idx="13">
                  <c:v>2014</c:v>
                </c:pt>
                <c:pt idx="14">
                  <c:v>2015</c:v>
                </c:pt>
                <c:pt idx="15">
                  <c:v>2016</c:v>
                </c:pt>
                <c:pt idx="16">
                  <c:v>2017</c:v>
                </c:pt>
                <c:pt idx="17">
                  <c:v>2018</c:v>
                </c:pt>
                <c:pt idx="18">
                  <c:v>2019</c:v>
                </c:pt>
                <c:pt idx="19">
                  <c:v>2020</c:v>
                </c:pt>
                <c:pt idx="20">
                  <c:v>2021</c:v>
                </c:pt>
                <c:pt idx="21">
                  <c:v>2022</c:v>
                </c:pt>
                <c:pt idx="22">
                  <c:v>2023</c:v>
                </c:pt>
                <c:pt idx="23">
                  <c:v>2024</c:v>
                </c:pt>
                <c:pt idx="24">
                  <c:v>2025</c:v>
                </c:pt>
                <c:pt idx="25">
                  <c:v>2026</c:v>
                </c:pt>
                <c:pt idx="26">
                  <c:v>2027</c:v>
                </c:pt>
                <c:pt idx="27">
                  <c:v>2028</c:v>
                </c:pt>
                <c:pt idx="28">
                  <c:v>2029</c:v>
                </c:pt>
                <c:pt idx="29">
                  <c:v>2030</c:v>
                </c:pt>
                <c:pt idx="30">
                  <c:v>2031</c:v>
                </c:pt>
                <c:pt idx="31">
                  <c:v>2032</c:v>
                </c:pt>
                <c:pt idx="32">
                  <c:v>2033</c:v>
                </c:pt>
                <c:pt idx="33">
                  <c:v>2034</c:v>
                </c:pt>
                <c:pt idx="34">
                  <c:v>2035</c:v>
                </c:pt>
                <c:pt idx="35">
                  <c:v>2036</c:v>
                </c:pt>
              </c:numCache>
            </c:numRef>
          </c:cat>
          <c:val>
            <c:numRef>
              <c:f>[6]Valuation!$H$317:$AQ$317</c:f>
              <c:numCache>
                <c:formatCode>General</c:formatCode>
                <c:ptCount val="36"/>
                <c:pt idx="0">
                  <c:v>47.930500563793743</c:v>
                </c:pt>
                <c:pt idx="1">
                  <c:v>46.577814700639635</c:v>
                </c:pt>
                <c:pt idx="2">
                  <c:v>47.1735573102657</c:v>
                </c:pt>
                <c:pt idx="3">
                  <c:v>50.101805896476002</c:v>
                </c:pt>
                <c:pt idx="4">
                  <c:v>49.901513013654601</c:v>
                </c:pt>
                <c:pt idx="5">
                  <c:v>51.199613680904307</c:v>
                </c:pt>
                <c:pt idx="6">
                  <c:v>51.040297167477533</c:v>
                </c:pt>
                <c:pt idx="7">
                  <c:v>47.383649175070616</c:v>
                </c:pt>
                <c:pt idx="8">
                  <c:v>47.294342539942882</c:v>
                </c:pt>
                <c:pt idx="9">
                  <c:v>52.08588737546593</c:v>
                </c:pt>
                <c:pt idx="10">
                  <c:v>49.369529583396812</c:v>
                </c:pt>
                <c:pt idx="11">
                  <c:v>50.068439493184073</c:v>
                </c:pt>
                <c:pt idx="12">
                  <c:v>54.279212935499956</c:v>
                </c:pt>
                <c:pt idx="13">
                  <c:v>42.776320108280501</c:v>
                </c:pt>
                <c:pt idx="14">
                  <c:v>42.726665569422103</c:v>
                </c:pt>
                <c:pt idx="15">
                  <c:v>45.273499719497394</c:v>
                </c:pt>
                <c:pt idx="16">
                  <c:v>44.768530050957146</c:v>
                </c:pt>
                <c:pt idx="17">
                  <c:v>45.527853904705673</c:v>
                </c:pt>
                <c:pt idx="18">
                  <c:v>50.25232018583484</c:v>
                </c:pt>
                <c:pt idx="19">
                  <c:v>47.837431382378327</c:v>
                </c:pt>
                <c:pt idx="20">
                  <c:v>48.221925393017287</c:v>
                </c:pt>
                <c:pt idx="21">
                  <c:v>50.920624454491126</c:v>
                </c:pt>
                <c:pt idx="22">
                  <c:v>50.337172658540446</c:v>
                </c:pt>
                <c:pt idx="23">
                  <c:v>51.357125609408016</c:v>
                </c:pt>
                <c:pt idx="24">
                  <c:v>56.317873554358243</c:v>
                </c:pt>
                <c:pt idx="25">
                  <c:v>42.543308216709505</c:v>
                </c:pt>
                <c:pt idx="26">
                  <c:v>43.020766073521067</c:v>
                </c:pt>
                <c:pt idx="27">
                  <c:v>45.907014034947522</c:v>
                </c:pt>
                <c:pt idx="28">
                  <c:v>45.469474071418432</c:v>
                </c:pt>
                <c:pt idx="29">
                  <c:v>46.71046496596999</c:v>
                </c:pt>
                <c:pt idx="30">
                  <c:v>51.90533011522205</c:v>
                </c:pt>
                <c:pt idx="31">
                  <c:v>49.312838413971214</c:v>
                </c:pt>
                <c:pt idx="32">
                  <c:v>49.979113536754966</c:v>
                </c:pt>
                <c:pt idx="33">
                  <c:v>53.128073692684602</c:v>
                </c:pt>
                <c:pt idx="34">
                  <c:v>52.822297870722451</c:v>
                </c:pt>
                <c:pt idx="35">
                  <c:v>54.249630458984086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CD5-49E9-9EE5-AF83538C0EF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8835856"/>
        <c:axId val="126340976"/>
      </c:lineChart>
      <c:catAx>
        <c:axId val="13883585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26340976"/>
        <c:crosses val="autoZero"/>
        <c:auto val="1"/>
        <c:lblAlgn val="ctr"/>
        <c:lblOffset val="100"/>
        <c:tickLblSkip val="2"/>
        <c:tickMarkSkip val="1"/>
        <c:noMultiLvlLbl val="0"/>
      </c:catAx>
      <c:valAx>
        <c:axId val="126340976"/>
        <c:scaling>
          <c:orientation val="minMax"/>
        </c:scaling>
        <c:delete val="0"/>
        <c:axPos val="l"/>
        <c:majorGridlines>
          <c:spPr>
            <a:ln w="3175">
              <a:solidFill>
                <a:srgbClr val="FFFFFF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9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$/MWh</a:t>
                </a:r>
              </a:p>
            </c:rich>
          </c:tx>
          <c:layout>
            <c:manualLayout>
              <c:xMode val="edge"/>
              <c:yMode val="edge"/>
              <c:x val="3.3296337402885681E-3"/>
              <c:y val="0.4355628058727569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38835856"/>
        <c:crosses val="autoZero"/>
        <c:crossBetween val="between"/>
      </c:valAx>
      <c:spPr>
        <a:solidFill>
          <a:srgbClr val="FFFFFF"/>
        </a:solidFill>
        <a:ln w="25400">
          <a:noFill/>
        </a:ln>
      </c:spPr>
    </c:plotArea>
    <c:legend>
      <c:legendPos val="b"/>
      <c:layout>
        <c:manualLayout>
          <c:xMode val="edge"/>
          <c:yMode val="edge"/>
          <c:x val="4.4395116537180909E-2"/>
          <c:y val="0.91517128874388254"/>
          <c:w val="0.9156492785793563"/>
          <c:h val="5.2202283849918436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  <a:effectLst>
          <a:outerShdw dist="35921" dir="2700000" algn="br">
            <a:srgbClr val="000000"/>
          </a:outerShdw>
        </a:effectLst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noFill/>
    <a:ln w="6350">
      <a:noFill/>
    </a:ln>
  </c:spPr>
  <c:txPr>
    <a:bodyPr/>
    <a:lstStyle/>
    <a:p>
      <a:pPr>
        <a:defRPr sz="9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userShapes r:id="rId1"/>
</c:chartSpac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6.bin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500-000000000000}">
  <sheetPr/>
  <sheetViews>
    <sheetView zoomScale="85" workbookViewId="0"/>
  </sheetViews>
  <pageMargins left="0.75" right="0.75" top="1" bottom="1" header="0.5" footer="0.5"/>
  <pageSetup orientation="landscape" r:id="rId1"/>
  <headerFooter alignWithMargins="0">
    <oddFooter>&amp;L&amp;F, &amp;A&amp;R&amp;D</oddFooter>
  </headerFooter>
  <drawing r:id="rId2"/>
</chartsheet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60</xdr:row>
      <xdr:rowOff>0</xdr:rowOff>
    </xdr:from>
    <xdr:to>
      <xdr:col>15</xdr:col>
      <xdr:colOff>0</xdr:colOff>
      <xdr:row>69</xdr:row>
      <xdr:rowOff>0</xdr:rowOff>
    </xdr:to>
    <xdr:sp macro="" textlink="">
      <xdr:nvSpPr>
        <xdr:cNvPr id="4097" name="Rectangle 1">
          <a:extLst>
            <a:ext uri="{FF2B5EF4-FFF2-40B4-BE49-F238E27FC236}">
              <a16:creationId xmlns:a16="http://schemas.microsoft.com/office/drawing/2014/main" id="{00000000-0008-0000-0000-000001100000}"/>
            </a:ext>
          </a:extLst>
        </xdr:cNvPr>
        <xdr:cNvSpPr>
          <a:spLocks noChangeArrowheads="1"/>
        </xdr:cNvSpPr>
      </xdr:nvSpPr>
      <xdr:spPr bwMode="auto">
        <a:xfrm>
          <a:off x="1790700" y="9277350"/>
          <a:ext cx="4857750" cy="1514475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ffectLst>
          <a:outerShdw dist="107763" dir="2700000" algn="ctr" rotWithShape="0">
            <a:srgbClr val="808080"/>
          </a:outerShdw>
        </a:effectLst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53640926-AAD7-44D8-BBD7-CCE9431645EC}">
            <a14:shadowObscured xmlns:a14="http://schemas.microsoft.com/office/drawing/2010/main" val="1"/>
          </a:ext>
        </a:extLst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504825</xdr:colOff>
      <xdr:row>20</xdr:row>
      <xdr:rowOff>0</xdr:rowOff>
    </xdr:from>
    <xdr:to>
      <xdr:col>6</xdr:col>
      <xdr:colOff>238125</xdr:colOff>
      <xdr:row>20</xdr:row>
      <xdr:rowOff>0</xdr:rowOff>
    </xdr:to>
    <xdr:pic>
      <xdr:nvPicPr>
        <xdr:cNvPr id="6145" name="Picture 1" descr="\\Bbsenesvr\Romans\Plutarch\08_Voyager\Enron_Logos\ENE_C_WHI.TIF">
          <a:extLst>
            <a:ext uri="{FF2B5EF4-FFF2-40B4-BE49-F238E27FC236}">
              <a16:creationId xmlns:a16="http://schemas.microsoft.com/office/drawing/2014/main" id="{00000000-0008-0000-0400-000001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24350" y="4533900"/>
          <a:ext cx="59055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5</xdr:col>
      <xdr:colOff>504825</xdr:colOff>
      <xdr:row>13</xdr:row>
      <xdr:rowOff>0</xdr:rowOff>
    </xdr:from>
    <xdr:to>
      <xdr:col>6</xdr:col>
      <xdr:colOff>238125</xdr:colOff>
      <xdr:row>13</xdr:row>
      <xdr:rowOff>0</xdr:rowOff>
    </xdr:to>
    <xdr:pic>
      <xdr:nvPicPr>
        <xdr:cNvPr id="6146" name="Picture 2" descr="\\Bbsenesvr\Romans\Plutarch\08_Voyager\Enron_Logos\ENE_C_WHI.TIF">
          <a:extLst>
            <a:ext uri="{FF2B5EF4-FFF2-40B4-BE49-F238E27FC236}">
              <a16:creationId xmlns:a16="http://schemas.microsoft.com/office/drawing/2014/main" id="{00000000-0008-0000-0400-000002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24350" y="2705100"/>
          <a:ext cx="59055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absoluteAnchor>
    <xdr:pos x="0" y="0"/>
    <xdr:ext cx="8550088" cy="5815853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0.53025</cdr:x>
      <cdr:y>0.15075</cdr:y>
    </cdr:from>
    <cdr:to>
      <cdr:x>0.53025</cdr:x>
      <cdr:y>0.83525</cdr:y>
    </cdr:to>
    <cdr:sp macro="" textlink="">
      <cdr:nvSpPr>
        <cdr:cNvPr id="7169" name="Line 1"/>
        <cdr:cNvSpPr>
          <a:spLocks xmlns:a="http://schemas.openxmlformats.org/drawingml/2006/main" noChangeShapeType="1"/>
        </cdr:cNvSpPr>
      </cdr:nvSpPr>
      <cdr:spPr bwMode="auto">
        <a:xfrm xmlns:a="http://schemas.openxmlformats.org/drawingml/2006/main" flipH="1" flipV="1">
          <a:off x="4550619" y="880203"/>
          <a:ext cx="0" cy="3996676"/>
        </a:xfrm>
        <a:prstGeom xmlns:a="http://schemas.openxmlformats.org/drawingml/2006/main" prst="line">
          <a:avLst/>
        </a:prstGeom>
        <a:noFill xmlns:a="http://schemas.openxmlformats.org/drawingml/2006/main"/>
        <a:ln xmlns:a="http://schemas.openxmlformats.org/drawingml/2006/main" w="9525">
          <a:solidFill>
            <a:srgbClr xmlns:mc="http://schemas.openxmlformats.org/markup-compatibility/2006" xmlns:a14="http://schemas.microsoft.com/office/drawing/2010/main" val="969696" mc:Ignorable="a14" a14:legacySpreadsheetColorIndex="55"/>
          </a:solidFill>
          <a:prstDash val="sysDot"/>
          <a:round/>
          <a:headEnd/>
          <a:tailEnd/>
        </a:ln>
        <a:extLst xmlns:a="http://schemas.openxmlformats.org/drawingml/2006/main">
          <a:ext uri="{909E8E84-426E-40DD-AFC4-6F175D3DCCD1}">
            <a14:hiddenFill xmlns:a14="http://schemas.microsoft.com/office/drawing/2010/main">
              <a:noFill/>
            </a14:hiddenFill>
          </a:ext>
        </a:extLst>
      </cdr:spPr>
    </cdr:sp>
  </cdr:relSizeAnchor>
  <cdr:relSizeAnchor xmlns:cdr="http://schemas.openxmlformats.org/drawingml/2006/chartDrawing">
    <cdr:from>
      <cdr:x>0.124</cdr:x>
      <cdr:y>0.6895</cdr:y>
    </cdr:from>
    <cdr:to>
      <cdr:x>0.4915</cdr:x>
      <cdr:y>0.72375</cdr:y>
    </cdr:to>
    <cdr:sp macro="" textlink="">
      <cdr:nvSpPr>
        <cdr:cNvPr id="7170" name="Rectangle 2"/>
        <cdr:cNvSpPr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064171" y="4025870"/>
          <a:ext cx="3153894" cy="199980"/>
        </a:xfrm>
        <a:prstGeom xmlns:a="http://schemas.openxmlformats.org/drawingml/2006/main" prst="rect">
          <a:avLst/>
        </a:prstGeom>
        <a:solidFill xmlns:a="http://schemas.openxmlformats.org/drawingml/2006/main">
          <a:srgbClr xmlns:mc="http://schemas.openxmlformats.org/markup-compatibility/2006" xmlns:a14="http://schemas.microsoft.com/office/drawing/2010/main" val="FFFFFF" mc:Ignorable="a14" a14:legacySpreadsheetColorIndex="9"/>
        </a:solidFill>
        <a:ln xmlns:a="http://schemas.openxmlformats.org/drawingml/2006/main"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ffectLst xmlns:a="http://schemas.openxmlformats.org/drawingml/2006/main">
          <a:outerShdw dist="107763" dir="2700000" algn="ctr" rotWithShape="0">
            <a:srgbClr val="808080"/>
          </a:outerShdw>
        </a:effectLst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n-US" sz="900" b="1" i="0" u="none" strike="noStrike" baseline="0">
              <a:solidFill>
                <a:srgbClr val="000000"/>
              </a:solidFill>
              <a:latin typeface="Arial"/>
              <a:cs typeface="Arial"/>
            </a:rPr>
            <a:t>Initial Term</a:t>
          </a:r>
        </a:p>
      </cdr:txBody>
    </cdr:sp>
  </cdr:relSizeAnchor>
  <cdr:relSizeAnchor xmlns:cdr="http://schemas.openxmlformats.org/drawingml/2006/chartDrawing">
    <cdr:from>
      <cdr:x>0.55975</cdr:x>
      <cdr:y>0.6895</cdr:y>
    </cdr:from>
    <cdr:to>
      <cdr:x>0.92725</cdr:x>
      <cdr:y>0.723</cdr:y>
    </cdr:to>
    <cdr:sp macro="" textlink="">
      <cdr:nvSpPr>
        <cdr:cNvPr id="7171" name="Rectangle 3"/>
        <cdr:cNvSpPr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4803788" y="4025870"/>
          <a:ext cx="3153895" cy="195600"/>
        </a:xfrm>
        <a:prstGeom xmlns:a="http://schemas.openxmlformats.org/drawingml/2006/main" prst="rect">
          <a:avLst/>
        </a:prstGeom>
        <a:solidFill xmlns:a="http://schemas.openxmlformats.org/drawingml/2006/main">
          <a:srgbClr xmlns:mc="http://schemas.openxmlformats.org/markup-compatibility/2006" xmlns:a14="http://schemas.microsoft.com/office/drawing/2010/main" val="FFFFFF" mc:Ignorable="a14" a14:legacySpreadsheetColorIndex="9"/>
        </a:solidFill>
        <a:ln xmlns:a="http://schemas.openxmlformats.org/drawingml/2006/main"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ffectLst xmlns:a="http://schemas.openxmlformats.org/drawingml/2006/main">
          <a:outerShdw dist="107763" dir="2700000" algn="ctr" rotWithShape="0">
            <a:srgbClr val="808080"/>
          </a:outerShdw>
        </a:effectLst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n-US" sz="900" b="1" i="0" u="none" strike="noStrike" baseline="0">
              <a:solidFill>
                <a:srgbClr val="000000"/>
              </a:solidFill>
              <a:latin typeface="Arial"/>
              <a:cs typeface="Arial"/>
            </a:rPr>
            <a:t>Renewal Term </a:t>
          </a:r>
        </a:p>
      </cdr:txBody>
    </cdr:sp>
  </cdr:relSizeAnchor>
  <cdr:relSizeAnchor xmlns:cdr="http://schemas.openxmlformats.org/drawingml/2006/chartDrawing">
    <cdr:from>
      <cdr:x>0.265</cdr:x>
      <cdr:y>0.23</cdr:y>
    </cdr:from>
    <cdr:to>
      <cdr:x>0.275</cdr:x>
      <cdr:y>0.266</cdr:y>
    </cdr:to>
    <cdr:sp macro="" textlink="">
      <cdr:nvSpPr>
        <cdr:cNvPr id="7172" name="Text Box 4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274237" y="1342930"/>
          <a:ext cx="85820" cy="21019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18288" tIns="0" rIns="0" bIns="0" anchor="t" upright="1">
          <a:spAutoFit/>
        </a:bodyPr>
        <a:lstStyle xmlns:a="http://schemas.openxmlformats.org/drawingml/2006/main"/>
        <a:p xmlns:a="http://schemas.openxmlformats.org/drawingml/2006/main">
          <a:pPr algn="ctr" rtl="0">
            <a:defRPr sz="1000"/>
          </a:pPr>
          <a:endParaRPr lang="en-US"/>
        </a:p>
      </cdr:txBody>
    </cdr:sp>
  </cdr:relSizeAnchor>
  <cdr:relSizeAnchor xmlns:cdr="http://schemas.openxmlformats.org/drawingml/2006/chartDrawing">
    <cdr:from>
      <cdr:x>0.11725</cdr:x>
      <cdr:y>0.77</cdr:y>
    </cdr:from>
    <cdr:to>
      <cdr:x>0.939</cdr:x>
      <cdr:y>0.8025</cdr:y>
    </cdr:to>
    <cdr:sp macro="" textlink="">
      <cdr:nvSpPr>
        <cdr:cNvPr id="7173" name="AutoShape 5"/>
        <cdr:cNvSpPr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006242" y="4495895"/>
          <a:ext cx="7052279" cy="189762"/>
        </a:xfrm>
        <a:prstGeom xmlns:a="http://schemas.openxmlformats.org/drawingml/2006/main" prst="homePlate">
          <a:avLst>
            <a:gd name="adj" fmla="val 159323"/>
          </a:avLst>
        </a:prstGeom>
        <a:solidFill xmlns:a="http://schemas.openxmlformats.org/drawingml/2006/main">
          <a:srgbClr xmlns:mc="http://schemas.openxmlformats.org/markup-compatibility/2006" xmlns:a14="http://schemas.microsoft.com/office/drawing/2010/main" val="FFFFCC" mc:Ignorable="a14" a14:legacySpreadsheetColorIndex="26"/>
        </a:solidFill>
        <a:ln xmlns:a="http://schemas.openxmlformats.org/drawingml/2006/main"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cdr:spPr>
      <cdr:txBody>
        <a:bodyPr xmlns:a="http://schemas.openxmlformats.org/drawingml/2006/main" vertOverflow="clip" wrap="square" lIns="27432" tIns="18288" rIns="27432" bIns="18288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n-US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Stranded Investment Through 2036 Is $252.5 MM</a:t>
          </a:r>
        </a:p>
      </cdr:txBody>
    </cdr:sp>
  </cdr:relSizeAnchor>
  <cdr:relSizeAnchor xmlns:cdr="http://schemas.openxmlformats.org/drawingml/2006/chartDrawing">
    <cdr:from>
      <cdr:x>0.43475</cdr:x>
      <cdr:y>0</cdr:y>
    </cdr:from>
    <cdr:to>
      <cdr:x>0.618</cdr:x>
      <cdr:y>0.08975</cdr:y>
    </cdr:to>
    <cdr:sp macro="" textlink="">
      <cdr:nvSpPr>
        <cdr:cNvPr id="7174" name="Text Box 6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731035" y="0"/>
          <a:ext cx="1572656" cy="52403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36576" tIns="45720" rIns="36576" bIns="0" anchor="t" upright="1">
          <a:spAutoFit/>
        </a:bodyPr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n-US" sz="1400" b="0" i="0" u="none" strike="noStrike" baseline="0">
              <a:solidFill>
                <a:srgbClr val="000000"/>
              </a:solidFill>
              <a:latin typeface="Arial Black"/>
            </a:rPr>
            <a:t>Cleburne Plant</a:t>
          </a:r>
        </a:p>
        <a:p xmlns:a="http://schemas.openxmlformats.org/drawingml/2006/main">
          <a:pPr algn="ctr" rtl="0">
            <a:defRPr sz="1000"/>
          </a:pPr>
          <a:r>
            <a:rPr lang="en-US" sz="1000" b="0" i="0" u="none" strike="noStrike" baseline="0">
              <a:solidFill>
                <a:srgbClr val="000000"/>
              </a:solidFill>
              <a:latin typeface="Arial Black"/>
            </a:rPr>
            <a:t>PPE-ENA Offer</a:t>
          </a:r>
        </a:p>
      </cdr:txBody>
    </cdr:sp>
  </cdr:relSizeAnchor>
  <cdr:relSizeAnchor xmlns:cdr="http://schemas.openxmlformats.org/drawingml/2006/chartDrawing">
    <cdr:from>
      <cdr:x>0.2515</cdr:x>
      <cdr:y>0.0895</cdr:y>
    </cdr:from>
    <cdr:to>
      <cdr:x>0.791</cdr:x>
      <cdr:y>0.12375</cdr:y>
    </cdr:to>
    <cdr:sp macro="" textlink="">
      <cdr:nvSpPr>
        <cdr:cNvPr id="7175" name="Text Box 7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158379" y="522575"/>
          <a:ext cx="4630003" cy="19998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18288" tIns="22860" rIns="0" bIns="0" anchor="t" upright="1">
          <a:sp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en-US" sz="900" b="1" i="0" u="none" strike="noStrike" baseline="0">
              <a:solidFill>
                <a:srgbClr val="FF0000"/>
              </a:solidFill>
              <a:latin typeface="Arial"/>
              <a:cs typeface="Arial"/>
            </a:rPr>
            <a:t>This Information Is CONFIDENTIAL Per Section 5 of the Facilitation Agreement</a:t>
          </a:r>
        </a:p>
      </cdr:txBody>
    </cdr:sp>
  </cdr:relSizeAnchor>
</c:userShapes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4</xdr:row>
      <xdr:rowOff>0</xdr:rowOff>
    </xdr:from>
    <xdr:to>
      <xdr:col>8</xdr:col>
      <xdr:colOff>0</xdr:colOff>
      <xdr:row>20</xdr:row>
      <xdr:rowOff>0</xdr:rowOff>
    </xdr:to>
    <xdr:sp macro="" textlink="">
      <xdr:nvSpPr>
        <xdr:cNvPr id="5121" name="Rectangle 1">
          <a:extLst>
            <a:ext uri="{FF2B5EF4-FFF2-40B4-BE49-F238E27FC236}">
              <a16:creationId xmlns:a16="http://schemas.microsoft.com/office/drawing/2014/main" id="{00000000-0008-0000-0600-000001140000}"/>
            </a:ext>
          </a:extLst>
        </xdr:cNvPr>
        <xdr:cNvSpPr>
          <a:spLocks noChangeArrowheads="1"/>
        </xdr:cNvSpPr>
      </xdr:nvSpPr>
      <xdr:spPr bwMode="auto">
        <a:xfrm>
          <a:off x="1304925" y="781050"/>
          <a:ext cx="4000500" cy="262890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ffectLst>
          <a:outerShdw dist="107763" dir="2700000" algn="ctr" rotWithShape="0">
            <a:srgbClr val="808080"/>
          </a:outerShdw>
        </a:effectLst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53640926-AAD7-44D8-BBD7-CCE9431645EC}">
            <a14:shadowObscured xmlns:a14="http://schemas.microsoft.com/office/drawing/2010/main" val="1"/>
          </a:ext>
        </a:extLst>
      </xdr:spPr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TEMP\Entergy%20Pump%20Storage%20Model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Capital%20Risk%20Structuring\POWER%20PROJECTS\Cornhusker\special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TEMP\special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TEMP\~0016017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Felienne\Enron\EnronSpreadsheets\Valuations\offer%20comparison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Felienne\Enron\EnronSpreadsheets\Valuations\Brazos%20Buyout%20@%2010-Nov-00%20(WIP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IPS"/>
      <sheetName val="MAIN"/>
      <sheetName val="CURVES"/>
      <sheetName val="TAKE"/>
      <sheetName val="CALC"/>
      <sheetName val="Take Function"/>
      <sheetName val="Fetching Macros"/>
      <sheetName val="Pricing Macros"/>
      <sheetName val="Date Functions"/>
    </sheetNames>
    <sheetDataSet>
      <sheetData sheetId="0" refreshError="1"/>
      <sheetData sheetId="1">
        <row r="7">
          <cell r="C7">
            <v>38353</v>
          </cell>
        </row>
        <row r="8">
          <cell r="C8">
            <v>40908</v>
          </cell>
        </row>
      </sheetData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 (2)"/>
      <sheetName val="Log"/>
      <sheetName val="Summary &amp; Control"/>
      <sheetName val="CB Analysis"/>
      <sheetName val="Sensitivity"/>
      <sheetName val="Assumptions"/>
      <sheetName val="COC"/>
      <sheetName val="Consolidated CF"/>
      <sheetName val="Restruct CF"/>
      <sheetName val="New Debt"/>
      <sheetName val="T&amp;D"/>
      <sheetName val="Plant 1 Optimization"/>
      <sheetName val="Sheet1"/>
      <sheetName val="Plant 1"/>
      <sheetName val="Plant 2"/>
      <sheetName val="Plant 3"/>
      <sheetName val="Plant 1 Partner Alloc"/>
      <sheetName val="Restruct Plant 1"/>
      <sheetName val="Restruct Plant 2"/>
      <sheetName val="Restruct Plant 3"/>
      <sheetName val="CURVES"/>
      <sheetName val="Buildup"/>
      <sheetName val="Restructuring Chart"/>
    </sheetNames>
    <sheetDataSet>
      <sheetData sheetId="0"/>
      <sheetData sheetId="1"/>
      <sheetData sheetId="2">
        <row r="1">
          <cell r="W1">
            <v>-1.0428597246045683</v>
          </cell>
        </row>
        <row r="4">
          <cell r="W4">
            <v>1</v>
          </cell>
        </row>
        <row r="39">
          <cell r="D39" t="str">
            <v>Plant 1</v>
          </cell>
          <cell r="E39" t="str">
            <v>Plant 2</v>
          </cell>
          <cell r="F39" t="str">
            <v>Plant 3</v>
          </cell>
        </row>
        <row r="41">
          <cell r="D41">
            <v>34851</v>
          </cell>
          <cell r="E41">
            <v>0</v>
          </cell>
          <cell r="F41">
            <v>0</v>
          </cell>
        </row>
        <row r="48">
          <cell r="D48" t="str">
            <v>yes</v>
          </cell>
          <cell r="E48" t="str">
            <v>no</v>
          </cell>
          <cell r="F48" t="str">
            <v>no</v>
          </cell>
        </row>
        <row r="49">
          <cell r="D49">
            <v>1</v>
          </cell>
          <cell r="E49">
            <v>0</v>
          </cell>
          <cell r="F49">
            <v>0</v>
          </cell>
        </row>
        <row r="50">
          <cell r="D50">
            <v>2019</v>
          </cell>
          <cell r="E50">
            <v>0</v>
          </cell>
          <cell r="F50">
            <v>0</v>
          </cell>
        </row>
      </sheetData>
      <sheetData sheetId="3"/>
      <sheetData sheetId="4"/>
      <sheetData sheetId="5">
        <row r="7">
          <cell r="L7">
            <v>0.11</v>
          </cell>
        </row>
        <row r="8">
          <cell r="L8" t="str">
            <v>Seller</v>
          </cell>
        </row>
        <row r="13">
          <cell r="R13">
            <v>2000</v>
          </cell>
        </row>
        <row r="20">
          <cell r="R20">
            <v>0.13</v>
          </cell>
        </row>
        <row r="21">
          <cell r="F21">
            <v>9.1749999999999998E-2</v>
          </cell>
        </row>
        <row r="25">
          <cell r="F25">
            <v>0.01</v>
          </cell>
          <cell r="J25">
            <v>103308</v>
          </cell>
          <cell r="K25">
            <v>44587</v>
          </cell>
          <cell r="L25">
            <v>54117</v>
          </cell>
        </row>
        <row r="26">
          <cell r="F26">
            <v>2.5000000000000001E-2</v>
          </cell>
          <cell r="J26">
            <v>123117</v>
          </cell>
          <cell r="K26">
            <v>50112</v>
          </cell>
          <cell r="L26">
            <v>56464</v>
          </cell>
        </row>
        <row r="31">
          <cell r="K31">
            <v>0</v>
          </cell>
        </row>
        <row r="34">
          <cell r="J34">
            <v>0</v>
          </cell>
          <cell r="K34">
            <v>5.1999999999999998E-2</v>
          </cell>
          <cell r="L34">
            <v>8.8400000000000006E-2</v>
          </cell>
        </row>
        <row r="81">
          <cell r="L81">
            <v>0</v>
          </cell>
          <cell r="R81">
            <v>0</v>
          </cell>
        </row>
        <row r="82">
          <cell r="F82">
            <v>4.6600000000000003E-2</v>
          </cell>
          <cell r="L82">
            <v>0</v>
          </cell>
          <cell r="R82">
            <v>0</v>
          </cell>
        </row>
      </sheetData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 (2)"/>
      <sheetName val="Log"/>
      <sheetName val="Summary &amp; Control"/>
      <sheetName val="CB Analysis"/>
      <sheetName val="Sensitivity"/>
      <sheetName val="Assumptions"/>
      <sheetName val="COC"/>
      <sheetName val="Consolidated CF"/>
      <sheetName val="Restruct CF"/>
      <sheetName val="New Debt"/>
      <sheetName val="T&amp;D"/>
      <sheetName val="Plant 1 Optimization"/>
      <sheetName val="Sheet1"/>
      <sheetName val="Plant 1"/>
      <sheetName val="Plant 2"/>
      <sheetName val="Plant 3"/>
      <sheetName val="Plant 1 Partner Alloc"/>
      <sheetName val="Restruct Plant 1"/>
      <sheetName val="Restruct Plant 2"/>
      <sheetName val="Restruct Plant 3"/>
      <sheetName val="CURVES"/>
      <sheetName val="Buildup"/>
      <sheetName val="Restructuring Chart"/>
    </sheetNames>
    <sheetDataSet>
      <sheetData sheetId="0"/>
      <sheetData sheetId="1"/>
      <sheetData sheetId="2">
        <row r="1">
          <cell r="W1">
            <v>-1.0428597246045683</v>
          </cell>
        </row>
        <row r="4">
          <cell r="W4">
            <v>1</v>
          </cell>
        </row>
        <row r="39">
          <cell r="D39" t="str">
            <v>Plant 1</v>
          </cell>
          <cell r="E39" t="str">
            <v>Plant 2</v>
          </cell>
          <cell r="F39" t="str">
            <v>Plant 3</v>
          </cell>
        </row>
        <row r="41">
          <cell r="D41">
            <v>34851</v>
          </cell>
          <cell r="E41">
            <v>0</v>
          </cell>
          <cell r="F41">
            <v>0</v>
          </cell>
        </row>
        <row r="48">
          <cell r="D48" t="str">
            <v>yes</v>
          </cell>
          <cell r="E48" t="str">
            <v>no</v>
          </cell>
          <cell r="F48" t="str">
            <v>no</v>
          </cell>
        </row>
        <row r="49">
          <cell r="D49">
            <v>1</v>
          </cell>
          <cell r="E49">
            <v>0</v>
          </cell>
          <cell r="F49">
            <v>0</v>
          </cell>
        </row>
        <row r="50">
          <cell r="D50">
            <v>2019</v>
          </cell>
          <cell r="E50">
            <v>0</v>
          </cell>
          <cell r="F50">
            <v>0</v>
          </cell>
        </row>
      </sheetData>
      <sheetData sheetId="3"/>
      <sheetData sheetId="4"/>
      <sheetData sheetId="5">
        <row r="7">
          <cell r="L7">
            <v>0.11</v>
          </cell>
        </row>
        <row r="8">
          <cell r="L8" t="str">
            <v>Seller</v>
          </cell>
        </row>
        <row r="13">
          <cell r="R13">
            <v>2000</v>
          </cell>
        </row>
        <row r="20">
          <cell r="R20">
            <v>0.13</v>
          </cell>
        </row>
        <row r="21">
          <cell r="F21">
            <v>9.1749999999999998E-2</v>
          </cell>
        </row>
        <row r="25">
          <cell r="F25">
            <v>0.01</v>
          </cell>
          <cell r="J25">
            <v>103308</v>
          </cell>
          <cell r="K25">
            <v>44587</v>
          </cell>
          <cell r="L25">
            <v>54117</v>
          </cell>
        </row>
        <row r="26">
          <cell r="F26">
            <v>2.5000000000000001E-2</v>
          </cell>
          <cell r="J26">
            <v>123117</v>
          </cell>
          <cell r="K26">
            <v>50112</v>
          </cell>
          <cell r="L26">
            <v>56464</v>
          </cell>
        </row>
        <row r="31">
          <cell r="K31">
            <v>0</v>
          </cell>
        </row>
        <row r="34">
          <cell r="J34">
            <v>0</v>
          </cell>
          <cell r="K34">
            <v>5.1999999999999998E-2</v>
          </cell>
          <cell r="L34">
            <v>8.8400000000000006E-2</v>
          </cell>
        </row>
        <row r="81">
          <cell r="L81">
            <v>0</v>
          </cell>
          <cell r="R81">
            <v>0</v>
          </cell>
        </row>
        <row r="82">
          <cell r="F82">
            <v>4.6600000000000003E-2</v>
          </cell>
          <cell r="L82">
            <v>0</v>
          </cell>
          <cell r="R82">
            <v>0</v>
          </cell>
        </row>
      </sheetData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IPS"/>
      <sheetName val="MAIN"/>
      <sheetName val="CURVES"/>
      <sheetName val="TAKE"/>
      <sheetName val="CALC"/>
      <sheetName val="Take Function"/>
      <sheetName val="Fetching Macros"/>
      <sheetName val="Pricing Macros"/>
      <sheetName val="Date Functions"/>
    </sheetNames>
    <sheetDataSet>
      <sheetData sheetId="0"/>
      <sheetData sheetId="1">
        <row r="2">
          <cell r="C2">
            <v>36588</v>
          </cell>
        </row>
      </sheetData>
      <sheetData sheetId="2"/>
      <sheetData sheetId="3"/>
      <sheetData sheetId="4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Valuation Summary"/>
      <sheetName val="Valuation"/>
      <sheetName val="PACE ERCOT Power Pricing"/>
      <sheetName val="PACE Waha Natural Gas Pricing"/>
      <sheetName val="PACE CPI (1998=100)"/>
    </sheetNames>
    <sheetDataSet>
      <sheetData sheetId="0"/>
      <sheetData sheetId="1">
        <row r="90">
          <cell r="B90" t="str">
            <v>DSCR Reserve</v>
          </cell>
        </row>
        <row r="91">
          <cell r="B91" t="str">
            <v>Overhaul Reserve</v>
          </cell>
        </row>
        <row r="92">
          <cell r="B92" t="str">
            <v>COBANK Stock - Book Value</v>
          </cell>
        </row>
      </sheetData>
      <sheetData sheetId="2"/>
      <sheetData sheetId="3"/>
      <sheetData sheetId="4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asic Graph"/>
      <sheetName val="Summary Graph"/>
      <sheetName val="New Alternatives"/>
      <sheetName val="Valuation"/>
      <sheetName val="Litigation Analysis"/>
      <sheetName val="PACE ERCOT Power Pricing"/>
      <sheetName val="PACE Waha Natural Gas Pricing"/>
      <sheetName val="PACE CPI (1998=100)"/>
      <sheetName val="Alternatives"/>
      <sheetName val="Assumptions"/>
    </sheetNames>
    <sheetDataSet>
      <sheetData sheetId="0" refreshError="1"/>
      <sheetData sheetId="1" refreshError="1"/>
      <sheetData sheetId="2" refreshError="1"/>
      <sheetData sheetId="3">
        <row r="9">
          <cell r="H9">
            <v>2001</v>
          </cell>
          <cell r="I9">
            <v>2002</v>
          </cell>
          <cell r="J9">
            <v>2003</v>
          </cell>
          <cell r="K9">
            <v>2004</v>
          </cell>
          <cell r="L9">
            <v>2005</v>
          </cell>
          <cell r="M9">
            <v>2006</v>
          </cell>
          <cell r="N9">
            <v>2007</v>
          </cell>
          <cell r="O9">
            <v>2008</v>
          </cell>
          <cell r="P9">
            <v>2009</v>
          </cell>
          <cell r="Q9">
            <v>2010</v>
          </cell>
          <cell r="R9">
            <v>2011</v>
          </cell>
          <cell r="S9">
            <v>2012</v>
          </cell>
          <cell r="T9">
            <v>2013</v>
          </cell>
          <cell r="U9">
            <v>2014</v>
          </cell>
          <cell r="V9">
            <v>2015</v>
          </cell>
          <cell r="W9">
            <v>2016</v>
          </cell>
          <cell r="X9">
            <v>2017</v>
          </cell>
          <cell r="Y9">
            <v>2018</v>
          </cell>
          <cell r="Z9">
            <v>2019</v>
          </cell>
          <cell r="AA9">
            <v>2020</v>
          </cell>
          <cell r="AB9">
            <v>2021</v>
          </cell>
          <cell r="AC9">
            <v>2022</v>
          </cell>
          <cell r="AD9">
            <v>2023</v>
          </cell>
          <cell r="AE9">
            <v>2024</v>
          </cell>
          <cell r="AF9">
            <v>2025</v>
          </cell>
          <cell r="AG9">
            <v>2026</v>
          </cell>
          <cell r="AH9">
            <v>2027</v>
          </cell>
          <cell r="AI9">
            <v>2028</v>
          </cell>
          <cell r="AJ9">
            <v>2029</v>
          </cell>
          <cell r="AK9">
            <v>2030</v>
          </cell>
          <cell r="AL9">
            <v>2031</v>
          </cell>
          <cell r="AM9">
            <v>2032</v>
          </cell>
          <cell r="AN9">
            <v>2033</v>
          </cell>
          <cell r="AO9">
            <v>2034</v>
          </cell>
          <cell r="AP9">
            <v>2035</v>
          </cell>
          <cell r="AQ9">
            <v>2036</v>
          </cell>
        </row>
        <row r="39">
          <cell r="A39" t="str">
            <v>Market Price - ERCOT 7x24 w/Wheeling (Pace)</v>
          </cell>
          <cell r="H39">
            <v>37.242367045424324</v>
          </cell>
          <cell r="I39">
            <v>31.113730703956207</v>
          </cell>
          <cell r="J39">
            <v>29.951771706852913</v>
          </cell>
          <cell r="K39">
            <v>31.523412257672124</v>
          </cell>
          <cell r="L39">
            <v>33.935229099445905</v>
          </cell>
          <cell r="M39">
            <v>35.092072014523161</v>
          </cell>
          <cell r="N39">
            <v>36.91360485180823</v>
          </cell>
          <cell r="O39">
            <v>39.73241117254733</v>
          </cell>
          <cell r="P39">
            <v>40.612389068550648</v>
          </cell>
          <cell r="Q39">
            <v>41.659400526072069</v>
          </cell>
          <cell r="R39">
            <v>42.886850640474215</v>
          </cell>
          <cell r="S39">
            <v>43.641232880530993</v>
          </cell>
          <cell r="T39">
            <v>44.600722026511448</v>
          </cell>
          <cell r="U39">
            <v>46.437335059612842</v>
          </cell>
          <cell r="V39">
            <v>45.134710212582107</v>
          </cell>
          <cell r="W39">
            <v>45.980703480541258</v>
          </cell>
          <cell r="X39">
            <v>46.719347296062317</v>
          </cell>
          <cell r="Y39">
            <v>47.291516630540663</v>
          </cell>
          <cell r="Z39">
            <v>48.916753587034229</v>
          </cell>
          <cell r="AA39">
            <v>49.912469419476565</v>
          </cell>
          <cell r="AB39">
            <v>50.928453359392805</v>
          </cell>
          <cell r="AC39">
            <v>51.965117970455417</v>
          </cell>
          <cell r="AD39">
            <v>53.022884214199586</v>
          </cell>
          <cell r="AE39">
            <v>54.102181620964316</v>
          </cell>
          <cell r="AF39">
            <v>55.203448464313134</v>
          </cell>
          <cell r="AG39">
            <v>56.327131939005142</v>
          </cell>
          <cell r="AH39">
            <v>57.473688342588758</v>
          </cell>
          <cell r="AI39">
            <v>58.643583260691848</v>
          </cell>
          <cell r="AJ39">
            <v>59.837291756083474</v>
          </cell>
          <cell r="AK39">
            <v>61.055298561584074</v>
          </cell>
          <cell r="AL39">
            <v>62.298098276902408</v>
          </cell>
          <cell r="AM39">
            <v>63.566195569479127</v>
          </cell>
          <cell r="AN39">
            <v>64.860105379418613</v>
          </cell>
          <cell r="AO39">
            <v>66.180353128592301</v>
          </cell>
          <cell r="AP39">
            <v>67.527474933998263</v>
          </cell>
          <cell r="AQ39">
            <v>68.902017825463929</v>
          </cell>
        </row>
        <row r="87">
          <cell r="B87" t="str">
            <v>Cost of Contract Purchase (Status Quo)</v>
          </cell>
          <cell r="H87">
            <v>43.437338410741589</v>
          </cell>
          <cell r="I87">
            <v>44.677346140453565</v>
          </cell>
          <cell r="J87">
            <v>46.832884503779653</v>
          </cell>
          <cell r="K87">
            <v>48.881466038847364</v>
          </cell>
          <cell r="L87">
            <v>50.723324949188857</v>
          </cell>
          <cell r="M87">
            <v>53.001626116548252</v>
          </cell>
          <cell r="N87">
            <v>51.835918927809061</v>
          </cell>
          <cell r="O87">
            <v>53.175204029183149</v>
          </cell>
          <cell r="P87">
            <v>54.596897821612416</v>
          </cell>
          <cell r="Q87">
            <v>56.104739900597508</v>
          </cell>
          <cell r="R87">
            <v>57.778071219693594</v>
          </cell>
          <cell r="S87">
            <v>59.466714354559109</v>
          </cell>
          <cell r="T87">
            <v>61.125067795442412</v>
          </cell>
          <cell r="U87">
            <v>61.982972202301667</v>
          </cell>
          <cell r="V87">
            <v>62.743269161933945</v>
          </cell>
          <cell r="W87">
            <v>63.593360942423239</v>
          </cell>
          <cell r="X87">
            <v>66.081049107759441</v>
          </cell>
          <cell r="Y87">
            <v>67.716912836377603</v>
          </cell>
          <cell r="Z87">
            <v>69.443926921914993</v>
          </cell>
          <cell r="AA87">
            <v>37.96162736281088</v>
          </cell>
          <cell r="AB87">
            <v>38.350144993374705</v>
          </cell>
          <cell r="AC87">
            <v>41.082993612688682</v>
          </cell>
          <cell r="AD87">
            <v>40.535712883254888</v>
          </cell>
          <cell r="AE87">
            <v>41.622176672062622</v>
          </cell>
          <cell r="AF87">
            <v>46.595264694329273</v>
          </cell>
          <cell r="AG87">
            <v>43.984405552191703</v>
          </cell>
          <cell r="AH87">
            <v>44.507275489217221</v>
          </cell>
          <cell r="AI87">
            <v>47.439389318901029</v>
          </cell>
          <cell r="AJ87">
            <v>47.054838426099508</v>
          </cell>
          <cell r="AK87">
            <v>48.349562077306686</v>
          </cell>
          <cell r="AL87">
            <v>53.601236032200873</v>
          </cell>
          <cell r="AM87">
            <v>51.066617558912249</v>
          </cell>
          <cell r="AN87">
            <v>51.798531390189879</v>
          </cell>
          <cell r="AO87">
            <v>55.014549474889598</v>
          </cell>
          <cell r="AP87">
            <v>54.779618115272335</v>
          </cell>
          <cell r="AQ87">
            <v>56.279606802527297</v>
          </cell>
        </row>
        <row r="317">
          <cell r="B317" t="str">
            <v>Ownership/Operation (Saves $121.7 MM or 47%)</v>
          </cell>
          <cell r="H317">
            <v>47.930500563793743</v>
          </cell>
          <cell r="I317">
            <v>46.577814700639635</v>
          </cell>
          <cell r="J317">
            <v>47.1735573102657</v>
          </cell>
          <cell r="K317">
            <v>50.101805896476002</v>
          </cell>
          <cell r="L317">
            <v>49.901513013654601</v>
          </cell>
          <cell r="M317">
            <v>51.199613680904307</v>
          </cell>
          <cell r="N317">
            <v>51.040297167477533</v>
          </cell>
          <cell r="O317">
            <v>47.383649175070616</v>
          </cell>
          <cell r="P317">
            <v>47.294342539942882</v>
          </cell>
          <cell r="Q317">
            <v>52.08588737546593</v>
          </cell>
          <cell r="R317">
            <v>49.369529583396812</v>
          </cell>
          <cell r="S317">
            <v>50.068439493184073</v>
          </cell>
          <cell r="T317">
            <v>54.279212935499956</v>
          </cell>
          <cell r="U317">
            <v>42.776320108280501</v>
          </cell>
          <cell r="V317">
            <v>42.726665569422103</v>
          </cell>
          <cell r="W317">
            <v>45.273499719497394</v>
          </cell>
          <cell r="X317">
            <v>44.768530050957146</v>
          </cell>
          <cell r="Y317">
            <v>45.527853904705673</v>
          </cell>
          <cell r="Z317">
            <v>50.25232018583484</v>
          </cell>
          <cell r="AA317">
            <v>47.837431382378327</v>
          </cell>
          <cell r="AB317">
            <v>48.221925393017287</v>
          </cell>
          <cell r="AC317">
            <v>50.920624454491126</v>
          </cell>
          <cell r="AD317">
            <v>50.337172658540446</v>
          </cell>
          <cell r="AE317">
            <v>51.357125609408016</v>
          </cell>
          <cell r="AF317">
            <v>56.317873554358243</v>
          </cell>
          <cell r="AG317">
            <v>42.543308216709505</v>
          </cell>
          <cell r="AH317">
            <v>43.020766073521067</v>
          </cell>
          <cell r="AI317">
            <v>45.907014034947522</v>
          </cell>
          <cell r="AJ317">
            <v>45.469474071418432</v>
          </cell>
          <cell r="AK317">
            <v>46.71046496596999</v>
          </cell>
          <cell r="AL317">
            <v>51.90533011522205</v>
          </cell>
          <cell r="AM317">
            <v>49.312838413971214</v>
          </cell>
          <cell r="AN317">
            <v>49.979113536754966</v>
          </cell>
          <cell r="AO317">
            <v>53.128073692684602</v>
          </cell>
          <cell r="AP317">
            <v>52.822297870722451</v>
          </cell>
          <cell r="AQ317">
            <v>54.249630458984086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5.bin"/><Relationship Id="rId4" Type="http://schemas.openxmlformats.org/officeDocument/2006/relationships/comments" Target="../comments2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S117"/>
  <sheetViews>
    <sheetView topLeftCell="A30" zoomScale="75" workbookViewId="0">
      <selection activeCell="A3" sqref="A3:S3"/>
    </sheetView>
  </sheetViews>
  <sheetFormatPr defaultColWidth="9.140625" defaultRowHeight="12.75"/>
  <cols>
    <col min="1" max="2" width="2.7109375" style="9" customWidth="1"/>
    <col min="3" max="5" width="10.7109375" style="9" customWidth="1"/>
    <col min="6" max="6" width="1.7109375" style="9" customWidth="1"/>
    <col min="7" max="7" width="10.7109375" style="9" customWidth="1"/>
    <col min="8" max="8" width="1.7109375" style="9" customWidth="1"/>
    <col min="9" max="9" width="10.7109375" style="9" customWidth="1"/>
    <col min="10" max="10" width="1.7109375" style="9" customWidth="1"/>
    <col min="11" max="11" width="10.7109375" style="9" customWidth="1"/>
    <col min="12" max="12" width="1.7109375" style="9" customWidth="1"/>
    <col min="13" max="13" width="10.7109375" style="9" customWidth="1"/>
    <col min="14" max="14" width="1.7109375" style="9" customWidth="1"/>
    <col min="15" max="15" width="10.7109375" style="9" customWidth="1"/>
    <col min="16" max="16" width="2.7109375" style="9" customWidth="1"/>
    <col min="17" max="17" width="10.7109375" style="9" customWidth="1"/>
    <col min="18" max="18" width="2.7109375" style="9" customWidth="1"/>
    <col min="19" max="34" width="10.7109375" style="9" customWidth="1"/>
    <col min="35" max="16384" width="9.140625" style="9"/>
  </cols>
  <sheetData>
    <row r="1" spans="1:19" ht="22.5">
      <c r="A1" s="246" t="s">
        <v>95</v>
      </c>
      <c r="B1" s="246"/>
      <c r="C1" s="246"/>
      <c r="D1" s="246"/>
      <c r="E1" s="246"/>
      <c r="F1" s="246"/>
      <c r="G1" s="246"/>
      <c r="H1" s="246"/>
      <c r="I1" s="246"/>
      <c r="J1" s="246"/>
      <c r="K1" s="246"/>
      <c r="L1" s="246"/>
      <c r="M1" s="246"/>
      <c r="N1" s="246"/>
      <c r="O1" s="246"/>
      <c r="P1" s="246"/>
      <c r="Q1" s="246"/>
      <c r="R1" s="246"/>
      <c r="S1" s="246"/>
    </row>
    <row r="2" spans="1:19" ht="15">
      <c r="A2" s="233" t="s">
        <v>101</v>
      </c>
      <c r="B2" s="233"/>
      <c r="C2" s="233"/>
      <c r="D2" s="233"/>
      <c r="E2" s="233"/>
      <c r="F2" s="233"/>
      <c r="G2" s="233"/>
      <c r="H2" s="233"/>
      <c r="I2" s="233"/>
      <c r="J2" s="233"/>
      <c r="K2" s="233"/>
      <c r="L2" s="233"/>
      <c r="M2" s="233"/>
      <c r="N2" s="233"/>
      <c r="O2" s="233"/>
      <c r="P2" s="233"/>
      <c r="Q2" s="233"/>
      <c r="R2" s="233"/>
      <c r="S2" s="233"/>
    </row>
    <row r="3" spans="1:19" ht="15">
      <c r="A3" s="233"/>
      <c r="B3" s="233"/>
      <c r="C3" s="233"/>
      <c r="D3" s="233"/>
      <c r="E3" s="233"/>
      <c r="F3" s="233"/>
      <c r="G3" s="233"/>
      <c r="H3" s="233"/>
      <c r="I3" s="233"/>
      <c r="J3" s="233"/>
      <c r="K3" s="233"/>
      <c r="L3" s="233"/>
      <c r="M3" s="233"/>
      <c r="N3" s="233"/>
      <c r="O3" s="233"/>
      <c r="P3" s="233"/>
      <c r="Q3" s="233"/>
      <c r="R3" s="233"/>
      <c r="S3" s="233"/>
    </row>
    <row r="4" spans="1:19">
      <c r="A4" s="27"/>
      <c r="B4" s="27"/>
      <c r="C4" s="27"/>
      <c r="D4" s="27"/>
      <c r="E4" s="27"/>
      <c r="F4" s="27"/>
      <c r="G4" s="27"/>
      <c r="H4" s="27"/>
      <c r="I4" s="27"/>
      <c r="J4" s="27"/>
      <c r="K4" s="27"/>
      <c r="L4" s="27"/>
      <c r="M4" s="27"/>
      <c r="N4" s="27"/>
      <c r="O4" s="27"/>
      <c r="P4" s="27"/>
      <c r="Q4" s="27"/>
      <c r="R4" s="27"/>
      <c r="S4" s="27"/>
    </row>
    <row r="5" spans="1:19" ht="15">
      <c r="A5" s="241" t="s">
        <v>34</v>
      </c>
      <c r="B5" s="241"/>
      <c r="C5" s="241"/>
      <c r="D5" s="241"/>
      <c r="E5" s="241"/>
      <c r="F5" s="241"/>
      <c r="G5" s="241"/>
      <c r="H5" s="241"/>
      <c r="I5" s="241"/>
      <c r="J5" s="241"/>
      <c r="K5" s="241"/>
      <c r="L5" s="241"/>
      <c r="M5" s="241"/>
      <c r="N5" s="241"/>
      <c r="O5" s="241"/>
      <c r="P5" s="241"/>
      <c r="Q5" s="241"/>
      <c r="R5" s="241"/>
      <c r="S5" s="241"/>
    </row>
    <row r="8" spans="1:19">
      <c r="A8" s="247" t="s">
        <v>97</v>
      </c>
      <c r="B8" s="247"/>
      <c r="C8" s="247"/>
      <c r="D8" s="247"/>
      <c r="E8" s="247"/>
      <c r="F8" s="247"/>
      <c r="J8" s="130"/>
      <c r="O8" s="76"/>
      <c r="R8" s="131"/>
      <c r="S8" s="134">
        <v>263000</v>
      </c>
    </row>
    <row r="9" spans="1:19">
      <c r="A9" s="129"/>
      <c r="B9" s="129"/>
      <c r="C9" s="129"/>
      <c r="D9" s="129"/>
      <c r="E9" s="129"/>
      <c r="F9" s="129"/>
      <c r="J9" s="130"/>
      <c r="O9" s="76"/>
      <c r="R9" s="131"/>
    </row>
    <row r="10" spans="1:19">
      <c r="A10" s="12" t="s">
        <v>96</v>
      </c>
      <c r="J10" s="132"/>
      <c r="O10" s="76"/>
      <c r="R10" s="133"/>
      <c r="S10" s="135">
        <v>0.05</v>
      </c>
    </row>
    <row r="12" spans="1:19">
      <c r="A12" s="12" t="s">
        <v>16</v>
      </c>
      <c r="G12" s="248" t="str">
        <f>CONCATENATE('Damage Calculations'!T12/1000," MW")</f>
        <v>240 MW</v>
      </c>
      <c r="H12" s="249"/>
      <c r="I12" s="249"/>
      <c r="J12" s="249"/>
      <c r="K12" s="249"/>
      <c r="L12" s="249"/>
      <c r="M12" s="250"/>
      <c r="O12" s="28" t="s">
        <v>35</v>
      </c>
      <c r="Q12" s="28" t="s">
        <v>36</v>
      </c>
      <c r="S12" s="28" t="s">
        <v>37</v>
      </c>
    </row>
    <row r="13" spans="1:19">
      <c r="A13" s="12"/>
    </row>
    <row r="14" spans="1:19">
      <c r="A14" s="12" t="s">
        <v>38</v>
      </c>
      <c r="G14" s="29">
        <v>35430</v>
      </c>
      <c r="I14" s="29">
        <v>36891</v>
      </c>
      <c r="K14" s="29">
        <v>35430</v>
      </c>
      <c r="M14" s="29">
        <v>36891</v>
      </c>
      <c r="O14" s="29">
        <v>36891</v>
      </c>
      <c r="Q14" s="29">
        <v>36891</v>
      </c>
      <c r="S14" s="29">
        <v>36891</v>
      </c>
    </row>
    <row r="16" spans="1:19" ht="30">
      <c r="G16" s="251" t="s">
        <v>39</v>
      </c>
      <c r="H16" s="251"/>
      <c r="I16" s="251"/>
      <c r="J16" s="31"/>
      <c r="K16" s="251" t="s">
        <v>40</v>
      </c>
      <c r="L16" s="251"/>
      <c r="M16" s="251"/>
      <c r="N16" s="31"/>
      <c r="O16" s="30" t="s">
        <v>40</v>
      </c>
      <c r="Q16" s="30" t="s">
        <v>40</v>
      </c>
      <c r="S16" s="30" t="s">
        <v>40</v>
      </c>
    </row>
    <row r="18" spans="1:19" ht="15">
      <c r="A18" s="242" t="s">
        <v>41</v>
      </c>
      <c r="B18" s="242"/>
      <c r="C18" s="242"/>
      <c r="D18" s="242"/>
      <c r="E18" s="242"/>
      <c r="F18" s="107"/>
    </row>
    <row r="19" spans="1:19">
      <c r="A19" s="127" t="s">
        <v>42</v>
      </c>
      <c r="B19" s="127"/>
      <c r="C19" s="127"/>
      <c r="D19" s="127"/>
      <c r="E19" s="12"/>
      <c r="F19" s="12"/>
    </row>
    <row r="20" spans="1:19">
      <c r="A20" s="127" t="s">
        <v>43</v>
      </c>
      <c r="B20" s="127"/>
      <c r="C20" s="127"/>
      <c r="D20" s="127"/>
      <c r="E20" s="12"/>
      <c r="F20" s="12"/>
    </row>
    <row r="21" spans="1:19">
      <c r="A21" s="127" t="s">
        <v>44</v>
      </c>
      <c r="B21" s="127"/>
      <c r="C21" s="127"/>
      <c r="D21" s="127"/>
      <c r="E21" s="12"/>
      <c r="F21" s="12"/>
    </row>
    <row r="22" spans="1:19" ht="4.5" customHeight="1">
      <c r="A22" s="74"/>
      <c r="B22" s="74"/>
      <c r="C22" s="74"/>
      <c r="D22" s="74"/>
    </row>
    <row r="23" spans="1:19">
      <c r="A23" s="74"/>
      <c r="B23" s="127" t="str">
        <f>CONCATENATE("PV",ROUND('Damage Calculations'!$F$9*100,2)," of Net Capacity Payments")</f>
        <v>PV5 of Net Capacity Payments</v>
      </c>
      <c r="C23" s="127"/>
      <c r="D23" s="74"/>
      <c r="G23" s="64">
        <f>+'Damage Calculations'!$T$13</f>
        <v>586133.46949314279</v>
      </c>
      <c r="I23" s="64">
        <f>+'Damage Calculations'!$Z$13</f>
        <v>548419.73923546262</v>
      </c>
      <c r="K23" s="64">
        <f>+'Damage Calculations'!$T$13</f>
        <v>586133.46949314279</v>
      </c>
      <c r="M23" s="64">
        <f>+'Damage Calculations'!$Z$13</f>
        <v>548419.73923546262</v>
      </c>
      <c r="O23" s="32"/>
      <c r="Q23" s="32"/>
      <c r="S23" s="32"/>
    </row>
    <row r="24" spans="1:19">
      <c r="A24" s="74"/>
      <c r="B24" s="127" t="s">
        <v>94</v>
      </c>
      <c r="C24" s="127"/>
      <c r="D24" s="74"/>
      <c r="I24" s="33"/>
      <c r="M24" s="33"/>
    </row>
    <row r="25" spans="1:19" ht="4.5" customHeight="1">
      <c r="A25" s="74"/>
      <c r="B25" s="127"/>
      <c r="C25" s="127"/>
      <c r="D25" s="74"/>
      <c r="I25" s="33"/>
      <c r="M25" s="33"/>
    </row>
    <row r="26" spans="1:19">
      <c r="A26" s="74"/>
      <c r="B26" s="127" t="s">
        <v>45</v>
      </c>
      <c r="C26" s="127"/>
      <c r="D26" s="74"/>
      <c r="G26" s="99">
        <v>175275</v>
      </c>
      <c r="H26" s="100"/>
      <c r="I26" s="99">
        <f>147230+18891</f>
        <v>166121</v>
      </c>
      <c r="J26" s="101"/>
      <c r="K26" s="99">
        <v>150300.039051</v>
      </c>
      <c r="L26" s="99"/>
      <c r="M26" s="99">
        <v>145482.25</v>
      </c>
      <c r="O26" s="35"/>
      <c r="Q26" s="35"/>
      <c r="S26" s="35"/>
    </row>
    <row r="27" spans="1:19" ht="4.5" customHeight="1">
      <c r="A27" s="74"/>
      <c r="B27" s="127"/>
      <c r="C27" s="127"/>
      <c r="D27" s="74"/>
    </row>
    <row r="28" spans="1:19" ht="15">
      <c r="A28" s="74"/>
      <c r="B28" s="127" t="s">
        <v>46</v>
      </c>
      <c r="C28" s="127"/>
      <c r="D28" s="74"/>
      <c r="G28" s="102">
        <v>0</v>
      </c>
      <c r="H28" s="102"/>
      <c r="I28" s="102">
        <v>-6888</v>
      </c>
      <c r="J28" s="103"/>
      <c r="K28" s="102">
        <v>0</v>
      </c>
      <c r="L28" s="102"/>
      <c r="M28" s="102">
        <v>-6888</v>
      </c>
      <c r="O28" s="37"/>
      <c r="Q28" s="37"/>
      <c r="S28" s="37"/>
    </row>
    <row r="29" spans="1:19" ht="4.5" customHeight="1">
      <c r="A29" s="74"/>
      <c r="B29" s="127"/>
      <c r="C29" s="127"/>
      <c r="D29" s="74"/>
    </row>
    <row r="30" spans="1:19">
      <c r="A30" s="74"/>
      <c r="B30" s="127" t="s">
        <v>47</v>
      </c>
      <c r="C30" s="127"/>
      <c r="D30" s="74"/>
      <c r="G30" s="35">
        <f>+G23-G26-G28</f>
        <v>410858.46949314279</v>
      </c>
      <c r="H30" s="35"/>
      <c r="I30" s="35">
        <f>+I23-I26-I28</f>
        <v>389186.73923546262</v>
      </c>
      <c r="K30" s="35">
        <f>+K23-K26-K28</f>
        <v>435833.43044214277</v>
      </c>
      <c r="L30" s="35"/>
      <c r="M30" s="35">
        <f>+M23-M26-M28</f>
        <v>409825.48923546262</v>
      </c>
      <c r="O30" s="35"/>
      <c r="Q30" s="35"/>
      <c r="S30" s="35"/>
    </row>
    <row r="31" spans="1:19">
      <c r="A31" s="74"/>
      <c r="B31" s="74"/>
      <c r="C31" s="74"/>
      <c r="D31" s="74"/>
    </row>
    <row r="32" spans="1:19">
      <c r="A32" s="74"/>
      <c r="B32" s="74"/>
      <c r="C32" s="74"/>
      <c r="D32" s="74"/>
    </row>
    <row r="33" spans="1:19" ht="15">
      <c r="A33" s="242" t="s">
        <v>48</v>
      </c>
      <c r="B33" s="242"/>
      <c r="C33" s="242"/>
      <c r="D33" s="242"/>
      <c r="E33" s="242"/>
      <c r="F33" s="107"/>
      <c r="S33" s="138"/>
    </row>
    <row r="34" spans="1:19">
      <c r="A34" s="127" t="s">
        <v>74</v>
      </c>
      <c r="B34" s="127"/>
      <c r="C34" s="127"/>
      <c r="D34" s="127"/>
      <c r="E34" s="12"/>
      <c r="F34" s="12"/>
      <c r="G34" s="76"/>
      <c r="S34" s="143" t="s">
        <v>98</v>
      </c>
    </row>
    <row r="35" spans="1:19">
      <c r="A35" s="127" t="s">
        <v>49</v>
      </c>
      <c r="B35" s="127"/>
      <c r="C35" s="127"/>
      <c r="D35" s="127"/>
      <c r="E35" s="12"/>
      <c r="F35" s="12"/>
      <c r="S35" s="139"/>
    </row>
    <row r="36" spans="1:19" ht="5.25" customHeight="1">
      <c r="A36" s="127"/>
      <c r="B36" s="127"/>
      <c r="C36" s="127"/>
      <c r="D36" s="127"/>
      <c r="E36" s="12"/>
      <c r="F36" s="12"/>
      <c r="S36" s="139"/>
    </row>
    <row r="37" spans="1:19">
      <c r="A37" s="127"/>
      <c r="B37" s="127" t="str">
        <f>CONCATENATE("PV",ROUND('Damage Calculations'!$F$9*100,2)," of Net Capacity Payments")</f>
        <v>PV5 of Net Capacity Payments</v>
      </c>
      <c r="C37" s="127"/>
      <c r="D37" s="127"/>
      <c r="E37" s="12"/>
      <c r="F37" s="12"/>
      <c r="M37" s="64"/>
      <c r="N37" s="33"/>
      <c r="O37" s="64"/>
      <c r="P37" s="33"/>
      <c r="Q37" s="64"/>
      <c r="R37" s="33"/>
      <c r="S37" s="140"/>
    </row>
    <row r="38" spans="1:19" ht="5.25" customHeight="1">
      <c r="A38" s="127"/>
      <c r="B38" s="127"/>
      <c r="C38" s="127"/>
      <c r="D38" s="127"/>
      <c r="E38" s="12"/>
      <c r="F38" s="12"/>
      <c r="S38" s="139"/>
    </row>
    <row r="39" spans="1:19">
      <c r="A39" s="127"/>
      <c r="B39" s="127" t="s">
        <v>47</v>
      </c>
      <c r="C39" s="127"/>
      <c r="D39" s="127"/>
      <c r="E39" s="12"/>
      <c r="F39" s="12"/>
      <c r="M39" s="35"/>
      <c r="O39" s="35"/>
      <c r="Q39" s="35"/>
      <c r="S39" s="141"/>
    </row>
    <row r="40" spans="1:19">
      <c r="A40" s="74"/>
      <c r="B40" s="74"/>
      <c r="C40" s="74"/>
      <c r="D40" s="74"/>
      <c r="S40" s="142"/>
    </row>
    <row r="41" spans="1:19" ht="15">
      <c r="A41" s="242" t="s">
        <v>50</v>
      </c>
      <c r="B41" s="242"/>
      <c r="C41" s="242"/>
      <c r="D41" s="242"/>
      <c r="E41" s="242"/>
      <c r="F41" s="107"/>
    </row>
    <row r="42" spans="1:19">
      <c r="A42" s="127" t="s">
        <v>51</v>
      </c>
      <c r="B42" s="127"/>
      <c r="C42" s="127"/>
      <c r="D42" s="127"/>
      <c r="E42" s="12"/>
      <c r="F42" s="12"/>
    </row>
    <row r="43" spans="1:19">
      <c r="A43" s="127" t="s">
        <v>90</v>
      </c>
      <c r="B43" s="127"/>
      <c r="C43" s="127"/>
      <c r="D43" s="127"/>
      <c r="E43" s="12"/>
      <c r="F43" s="12"/>
    </row>
    <row r="44" spans="1:19">
      <c r="A44" s="127" t="s">
        <v>80</v>
      </c>
      <c r="B44" s="127"/>
      <c r="C44" s="127"/>
      <c r="D44" s="127"/>
      <c r="E44" s="12"/>
      <c r="F44" s="12"/>
    </row>
    <row r="45" spans="1:19" ht="4.5" customHeight="1">
      <c r="A45" s="127"/>
      <c r="B45" s="127"/>
      <c r="C45" s="127"/>
      <c r="D45" s="127"/>
      <c r="E45" s="12"/>
      <c r="F45" s="12"/>
    </row>
    <row r="46" spans="1:19">
      <c r="A46" s="127"/>
      <c r="B46" s="127" t="str">
        <f>CONCATENATE("PV",ROUND('Damage Calculations'!$F$9*100,2)," of Net Capacity Payments")</f>
        <v>PV5 of Net Capacity Payments</v>
      </c>
      <c r="C46" s="127"/>
      <c r="D46" s="127"/>
      <c r="E46" s="12"/>
      <c r="F46" s="12"/>
      <c r="M46" s="64"/>
      <c r="N46" s="33"/>
      <c r="O46" s="64"/>
      <c r="P46" s="33"/>
      <c r="Q46" s="64"/>
      <c r="R46" s="33"/>
      <c r="S46" s="64"/>
    </row>
    <row r="47" spans="1:19" ht="4.5" customHeight="1">
      <c r="A47" s="127"/>
      <c r="B47" s="127"/>
      <c r="C47" s="127"/>
      <c r="D47" s="127"/>
      <c r="E47" s="12"/>
      <c r="F47" s="12"/>
    </row>
    <row r="48" spans="1:19">
      <c r="A48" s="127"/>
      <c r="B48" s="127" t="s">
        <v>47</v>
      </c>
      <c r="C48" s="127"/>
      <c r="D48" s="127"/>
      <c r="E48" s="12"/>
      <c r="F48" s="12"/>
      <c r="M48" s="35"/>
      <c r="O48" s="35"/>
      <c r="Q48" s="35"/>
      <c r="S48" s="35"/>
    </row>
    <row r="49" spans="1:19">
      <c r="A49" s="127"/>
      <c r="B49" s="127"/>
      <c r="C49" s="127"/>
      <c r="D49" s="127"/>
      <c r="E49" s="12"/>
      <c r="F49" s="12"/>
    </row>
    <row r="50" spans="1:19" ht="15">
      <c r="A50" s="242" t="s">
        <v>78</v>
      </c>
      <c r="B50" s="242"/>
      <c r="C50" s="242"/>
      <c r="D50" s="242"/>
      <c r="E50" s="242"/>
      <c r="F50" s="107"/>
    </row>
    <row r="51" spans="1:19">
      <c r="A51" s="127" t="s">
        <v>51</v>
      </c>
      <c r="B51" s="127"/>
      <c r="C51" s="127"/>
      <c r="D51" s="127"/>
      <c r="E51" s="12"/>
      <c r="F51" s="12"/>
    </row>
    <row r="52" spans="1:19">
      <c r="A52" s="127" t="s">
        <v>91</v>
      </c>
      <c r="B52" s="127"/>
      <c r="C52" s="127"/>
      <c r="D52" s="127"/>
      <c r="E52" s="12"/>
      <c r="F52" s="12"/>
    </row>
    <row r="53" spans="1:19">
      <c r="A53" s="127" t="s">
        <v>75</v>
      </c>
      <c r="B53" s="127"/>
      <c r="C53" s="127"/>
      <c r="D53" s="127"/>
      <c r="E53" s="12"/>
      <c r="F53" s="12"/>
    </row>
    <row r="54" spans="1:19" ht="5.25" customHeight="1">
      <c r="A54" s="127"/>
      <c r="B54" s="127"/>
      <c r="C54" s="127"/>
      <c r="D54" s="127"/>
      <c r="E54" s="12"/>
      <c r="F54" s="12"/>
      <c r="O54" s="36"/>
    </row>
    <row r="55" spans="1:19">
      <c r="A55" s="127"/>
      <c r="B55" s="127" t="str">
        <f>CONCATENATE("PV",ROUND('Damage Calculations'!$F$9*100,2)," of Net Capacity Payments")</f>
        <v>PV5 of Net Capacity Payments</v>
      </c>
      <c r="C55" s="127"/>
      <c r="D55" s="127"/>
      <c r="E55" s="12"/>
      <c r="F55" s="12"/>
      <c r="M55" s="64"/>
      <c r="O55" s="64"/>
      <c r="P55" s="33"/>
      <c r="Q55" s="64"/>
      <c r="R55" s="33"/>
      <c r="S55" s="64"/>
    </row>
    <row r="56" spans="1:19" ht="5.25" customHeight="1">
      <c r="A56" s="127"/>
      <c r="B56" s="127"/>
      <c r="C56" s="127"/>
      <c r="D56" s="127"/>
      <c r="E56" s="12"/>
      <c r="F56" s="12"/>
    </row>
    <row r="57" spans="1:19">
      <c r="A57" s="127"/>
      <c r="B57" s="127" t="s">
        <v>47</v>
      </c>
      <c r="C57" s="127"/>
      <c r="D57" s="127"/>
      <c r="E57" s="12"/>
      <c r="F57" s="12"/>
      <c r="M57" s="35"/>
      <c r="O57" s="35"/>
      <c r="Q57" s="35"/>
      <c r="S57" s="35"/>
    </row>
    <row r="58" spans="1:19">
      <c r="A58" s="74"/>
      <c r="B58" s="74"/>
      <c r="C58" s="74"/>
      <c r="D58" s="74"/>
    </row>
    <row r="61" spans="1:19"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1"/>
    </row>
    <row r="62" spans="1:19" ht="15">
      <c r="E62" s="243" t="s">
        <v>88</v>
      </c>
      <c r="F62" s="244"/>
      <c r="G62" s="244"/>
      <c r="H62" s="244"/>
      <c r="I62" s="244"/>
      <c r="J62" s="244"/>
      <c r="K62" s="244"/>
      <c r="L62" s="244"/>
      <c r="M62" s="244"/>
      <c r="N62" s="244"/>
      <c r="O62" s="245"/>
    </row>
    <row r="63" spans="1:19">
      <c r="E63" s="42"/>
      <c r="O63" s="43"/>
    </row>
    <row r="64" spans="1:19" ht="15">
      <c r="E64" s="42"/>
      <c r="I64" s="108" t="str">
        <f>+G12</f>
        <v>240 MW</v>
      </c>
      <c r="J64" s="108"/>
      <c r="K64" s="108" t="str">
        <f>+O12</f>
        <v>245 MW</v>
      </c>
      <c r="L64" s="108"/>
      <c r="M64" s="108" t="str">
        <f>+Q12</f>
        <v>258 MW</v>
      </c>
      <c r="N64" s="108"/>
      <c r="O64" s="109" t="str">
        <f>+S12</f>
        <v>263 MW</v>
      </c>
    </row>
    <row r="65" spans="5:15">
      <c r="E65" s="42"/>
      <c r="O65" s="43"/>
    </row>
    <row r="66" spans="5:15">
      <c r="E66" s="125" t="s">
        <v>52</v>
      </c>
      <c r="F66" s="12"/>
      <c r="I66" s="35"/>
      <c r="K66" s="35"/>
      <c r="M66" s="35"/>
      <c r="O66" s="126"/>
    </row>
    <row r="67" spans="5:15">
      <c r="E67" s="125" t="s">
        <v>89</v>
      </c>
      <c r="F67" s="12"/>
      <c r="I67" s="35"/>
      <c r="K67" s="35"/>
      <c r="M67" s="35"/>
      <c r="O67" s="44"/>
    </row>
    <row r="68" spans="5:15">
      <c r="E68" s="125" t="s">
        <v>79</v>
      </c>
      <c r="F68" s="12"/>
      <c r="I68" s="35"/>
      <c r="K68" s="35"/>
      <c r="M68" s="35"/>
      <c r="O68" s="44"/>
    </row>
    <row r="69" spans="5:15">
      <c r="E69" s="45"/>
      <c r="F69" s="46"/>
      <c r="G69" s="46"/>
      <c r="H69" s="46"/>
      <c r="I69" s="46"/>
      <c r="J69" s="46"/>
      <c r="K69" s="46"/>
      <c r="L69" s="46"/>
      <c r="M69" s="46"/>
      <c r="N69" s="46"/>
      <c r="O69" s="47"/>
    </row>
    <row r="74" spans="5:15">
      <c r="I74" s="35"/>
    </row>
    <row r="114" spans="9:9">
      <c r="I114" s="34"/>
    </row>
    <row r="115" spans="9:9">
      <c r="I115" s="34"/>
    </row>
    <row r="117" spans="9:9">
      <c r="I117" s="35"/>
    </row>
  </sheetData>
  <mergeCells count="13">
    <mergeCell ref="A50:E50"/>
    <mergeCell ref="E62:O62"/>
    <mergeCell ref="A41:E41"/>
    <mergeCell ref="A33:E33"/>
    <mergeCell ref="A1:S1"/>
    <mergeCell ref="A2:S2"/>
    <mergeCell ref="A5:S5"/>
    <mergeCell ref="A3:S3"/>
    <mergeCell ref="A18:E18"/>
    <mergeCell ref="A8:F8"/>
    <mergeCell ref="G12:M12"/>
    <mergeCell ref="G16:I16"/>
    <mergeCell ref="K16:M16"/>
  </mergeCells>
  <phoneticPr fontId="24" type="noConversion"/>
  <printOptions horizontalCentered="1"/>
  <pageMargins left="0.25" right="0.25" top="0.25" bottom="0.25" header="0.5" footer="0.5"/>
  <pageSetup scale="82" orientation="portrait" horizontalDpi="0" r:id="rId1"/>
  <headerFooter alignWithMargins="0">
    <oddFooter>&amp;L&amp;F, &amp;A&amp;R&amp;D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BE85"/>
  <sheetViews>
    <sheetView showGridLines="0" tabSelected="1" topLeftCell="A52" zoomScale="75" workbookViewId="0">
      <selection activeCell="A3" sqref="A3:AC3"/>
    </sheetView>
  </sheetViews>
  <sheetFormatPr defaultRowHeight="12.75"/>
  <cols>
    <col min="1" max="1" width="29" customWidth="1"/>
    <col min="2" max="2" width="14.42578125" customWidth="1"/>
    <col min="3" max="6" width="12.7109375" customWidth="1"/>
    <col min="7" max="29" width="11.28515625" customWidth="1"/>
    <col min="48" max="48" width="15.85546875" bestFit="1" customWidth="1"/>
    <col min="50" max="50" width="14.42578125" bestFit="1" customWidth="1"/>
    <col min="52" max="52" width="11.28515625" bestFit="1" customWidth="1"/>
  </cols>
  <sheetData>
    <row r="1" spans="1:29" ht="22.5">
      <c r="A1" s="240" t="s">
        <v>95</v>
      </c>
      <c r="B1" s="240"/>
      <c r="C1" s="240"/>
      <c r="D1" s="240"/>
      <c r="E1" s="240"/>
      <c r="F1" s="240"/>
      <c r="G1" s="240"/>
      <c r="H1" s="240"/>
      <c r="I1" s="240"/>
      <c r="J1" s="240"/>
      <c r="K1" s="240"/>
      <c r="L1" s="240"/>
      <c r="M1" s="240"/>
      <c r="N1" s="240"/>
      <c r="O1" s="240"/>
      <c r="P1" s="240"/>
      <c r="Q1" s="240"/>
      <c r="R1" s="240"/>
      <c r="S1" s="240"/>
      <c r="T1" s="240"/>
      <c r="U1" s="240"/>
      <c r="V1" s="240"/>
      <c r="W1" s="240"/>
      <c r="X1" s="240"/>
      <c r="Y1" s="240"/>
      <c r="Z1" s="240"/>
      <c r="AA1" s="240"/>
      <c r="AB1" s="240"/>
      <c r="AC1" s="240"/>
    </row>
    <row r="2" spans="1:29" ht="16.5" customHeight="1">
      <c r="A2" s="233" t="s">
        <v>101</v>
      </c>
      <c r="B2" s="233"/>
      <c r="C2" s="233"/>
      <c r="D2" s="233"/>
      <c r="E2" s="233"/>
      <c r="F2" s="233"/>
      <c r="G2" s="233"/>
      <c r="H2" s="233"/>
      <c r="I2" s="233"/>
      <c r="J2" s="233"/>
      <c r="K2" s="233"/>
      <c r="L2" s="233"/>
      <c r="M2" s="233"/>
      <c r="N2" s="233"/>
      <c r="O2" s="233"/>
      <c r="P2" s="233"/>
      <c r="Q2" s="233"/>
      <c r="R2" s="233"/>
      <c r="S2" s="233"/>
      <c r="T2" s="233"/>
      <c r="U2" s="233"/>
      <c r="V2" s="233"/>
      <c r="W2" s="233"/>
      <c r="X2" s="233"/>
      <c r="Y2" s="233"/>
      <c r="Z2" s="233"/>
      <c r="AA2" s="233"/>
      <c r="AB2" s="233"/>
      <c r="AC2" s="233"/>
    </row>
    <row r="3" spans="1:29" ht="16.5" customHeight="1">
      <c r="A3" s="233"/>
      <c r="B3" s="233"/>
      <c r="C3" s="233"/>
      <c r="D3" s="233"/>
      <c r="E3" s="233"/>
      <c r="F3" s="233"/>
      <c r="G3" s="233"/>
      <c r="H3" s="233"/>
      <c r="I3" s="233"/>
      <c r="J3" s="233"/>
      <c r="K3" s="233"/>
      <c r="L3" s="233"/>
      <c r="M3" s="233"/>
      <c r="N3" s="233"/>
      <c r="O3" s="233"/>
      <c r="P3" s="233"/>
      <c r="Q3" s="233"/>
      <c r="R3" s="233"/>
      <c r="S3" s="233"/>
      <c r="T3" s="233"/>
      <c r="U3" s="233"/>
      <c r="V3" s="233"/>
      <c r="W3" s="233"/>
      <c r="X3" s="233"/>
      <c r="Y3" s="233"/>
      <c r="Z3" s="233"/>
      <c r="AA3" s="233"/>
      <c r="AB3" s="233"/>
      <c r="AC3" s="233"/>
    </row>
    <row r="4" spans="1:29" ht="15.75">
      <c r="A4" s="56"/>
      <c r="B4" s="56"/>
      <c r="C4" s="56"/>
      <c r="D4" s="56"/>
      <c r="E4" s="56"/>
      <c r="F4" s="56"/>
      <c r="G4" s="56"/>
      <c r="H4" s="56"/>
      <c r="I4" s="56"/>
      <c r="J4" s="56"/>
      <c r="K4" s="56"/>
      <c r="L4" s="56"/>
      <c r="M4" s="56"/>
      <c r="N4" s="56"/>
      <c r="O4" s="56"/>
      <c r="P4" s="56"/>
      <c r="Q4" s="56"/>
      <c r="R4" s="56"/>
      <c r="S4" s="56"/>
      <c r="T4" s="56"/>
      <c r="U4" s="56"/>
      <c r="V4" s="56"/>
      <c r="W4" s="56"/>
      <c r="X4" s="56"/>
      <c r="Y4" s="56"/>
      <c r="Z4" s="56"/>
      <c r="AA4" s="56"/>
      <c r="AB4" s="56"/>
      <c r="AC4" s="56"/>
    </row>
    <row r="5" spans="1:29" ht="16.5" customHeight="1">
      <c r="A5" s="241" t="s">
        <v>34</v>
      </c>
      <c r="B5" s="241"/>
      <c r="C5" s="241"/>
      <c r="D5" s="241"/>
      <c r="E5" s="241"/>
      <c r="F5" s="241"/>
      <c r="G5" s="241"/>
      <c r="H5" s="241"/>
      <c r="I5" s="241"/>
      <c r="J5" s="241"/>
      <c r="K5" s="241"/>
      <c r="L5" s="241"/>
      <c r="M5" s="241"/>
      <c r="N5" s="241"/>
      <c r="O5" s="241"/>
      <c r="P5" s="241"/>
      <c r="Q5" s="241"/>
      <c r="R5" s="241"/>
      <c r="S5" s="241"/>
      <c r="T5" s="241"/>
      <c r="U5" s="241"/>
      <c r="V5" s="241"/>
      <c r="W5" s="241"/>
      <c r="X5" s="241"/>
      <c r="Y5" s="241"/>
      <c r="Z5" s="241"/>
      <c r="AA5" s="241"/>
      <c r="AB5" s="241"/>
      <c r="AC5" s="241"/>
    </row>
    <row r="6" spans="1:29">
      <c r="A6" s="1"/>
    </row>
    <row r="7" spans="1:29">
      <c r="A7" s="237" t="s">
        <v>73</v>
      </c>
      <c r="B7" s="238"/>
      <c r="C7" s="238"/>
      <c r="D7" s="238"/>
      <c r="E7" s="238"/>
      <c r="F7" s="239"/>
      <c r="Q7" s="237" t="s">
        <v>72</v>
      </c>
      <c r="R7" s="238"/>
      <c r="S7" s="238"/>
      <c r="T7" s="238"/>
      <c r="U7" s="238"/>
      <c r="V7" s="238"/>
      <c r="W7" s="238"/>
      <c r="X7" s="238"/>
      <c r="Y7" s="238"/>
      <c r="Z7" s="238"/>
      <c r="AA7" s="238"/>
      <c r="AB7" s="238"/>
      <c r="AC7" s="239"/>
    </row>
    <row r="8" spans="1:29">
      <c r="A8" s="65" t="s">
        <v>70</v>
      </c>
      <c r="B8" s="24"/>
      <c r="C8" s="24"/>
      <c r="D8" s="66"/>
      <c r="E8" s="128" t="s">
        <v>26</v>
      </c>
      <c r="F8" s="136">
        <f>+Summary!S8</f>
        <v>263000</v>
      </c>
    </row>
    <row r="9" spans="1:29">
      <c r="A9" s="14" t="s">
        <v>29</v>
      </c>
      <c r="B9" s="4"/>
      <c r="C9" s="4"/>
      <c r="D9" s="26"/>
      <c r="E9" s="26"/>
      <c r="F9" s="137">
        <f>+Summary!S10</f>
        <v>0.05</v>
      </c>
    </row>
    <row r="10" spans="1:29">
      <c r="A10" s="1"/>
    </row>
    <row r="11" spans="1:29" ht="15">
      <c r="A11" s="237" t="s">
        <v>24</v>
      </c>
      <c r="B11" s="238"/>
      <c r="C11" s="238"/>
      <c r="D11" s="238"/>
      <c r="E11" s="238"/>
      <c r="F11" s="239"/>
      <c r="Q11" s="71"/>
      <c r="S11" s="234" t="s">
        <v>68</v>
      </c>
      <c r="T11" s="235"/>
      <c r="U11" s="235"/>
      <c r="V11" s="235"/>
      <c r="W11" s="236"/>
      <c r="Y11" s="234" t="s">
        <v>69</v>
      </c>
      <c r="Z11" s="235"/>
      <c r="AA11" s="235"/>
      <c r="AB11" s="235"/>
      <c r="AC11" s="236"/>
    </row>
    <row r="12" spans="1:29">
      <c r="A12" s="13" t="s">
        <v>53</v>
      </c>
      <c r="B12" s="84" t="s">
        <v>28</v>
      </c>
      <c r="C12" s="39" t="s">
        <v>55</v>
      </c>
      <c r="D12" s="24"/>
      <c r="E12" s="24"/>
      <c r="F12" s="25"/>
      <c r="Q12" s="73" t="s">
        <v>24</v>
      </c>
      <c r="S12" s="67" t="s">
        <v>71</v>
      </c>
      <c r="T12" s="89">
        <v>240000</v>
      </c>
      <c r="U12" s="89">
        <v>245000</v>
      </c>
      <c r="V12" s="89">
        <v>258000</v>
      </c>
      <c r="W12" s="90">
        <v>263000</v>
      </c>
      <c r="Y12" s="67" t="s">
        <v>71</v>
      </c>
      <c r="Z12" s="89">
        <v>240000</v>
      </c>
      <c r="AA12" s="89">
        <v>245000</v>
      </c>
      <c r="AB12" s="89">
        <v>258000</v>
      </c>
      <c r="AC12" s="90">
        <v>263000</v>
      </c>
    </row>
    <row r="13" spans="1:29">
      <c r="A13" s="14" t="s">
        <v>54</v>
      </c>
      <c r="B13" s="85" t="s">
        <v>28</v>
      </c>
      <c r="C13" s="45" t="s">
        <v>56</v>
      </c>
      <c r="D13" s="4"/>
      <c r="E13" s="4"/>
      <c r="F13" s="48"/>
      <c r="Q13" s="72"/>
      <c r="S13" s="70">
        <f>+B41/1000</f>
        <v>586133.46949314279</v>
      </c>
      <c r="T13" s="68">
        <f t="dataTable" ref="T13:W13" dt2D="0" dtr="1" r1="F8"/>
        <v>586133.46949314279</v>
      </c>
      <c r="U13" s="68">
        <v>586133.46949314279</v>
      </c>
      <c r="V13" s="68">
        <v>586133.46949314279</v>
      </c>
      <c r="W13" s="69">
        <v>586133.46949314279</v>
      </c>
      <c r="Y13" s="70">
        <f>+B42/1000</f>
        <v>548419.73923546262</v>
      </c>
      <c r="Z13" s="68">
        <f t="dataTable" ref="Z13:AC13" dt2D="0" dtr="1" r1="F8"/>
        <v>548419.73923546262</v>
      </c>
      <c r="AA13" s="68">
        <v>548419.73923546262</v>
      </c>
      <c r="AB13" s="68">
        <v>548419.73923546262</v>
      </c>
      <c r="AC13" s="69">
        <v>548419.73923546262</v>
      </c>
    </row>
    <row r="14" spans="1:29">
      <c r="C14" s="9"/>
    </row>
    <row r="15" spans="1:29" ht="15">
      <c r="A15" s="237" t="s">
        <v>30</v>
      </c>
      <c r="B15" s="238"/>
      <c r="C15" s="238"/>
      <c r="D15" s="238"/>
      <c r="E15" s="238"/>
      <c r="F15" s="239"/>
      <c r="Q15" s="71"/>
      <c r="Y15" s="234" t="s">
        <v>69</v>
      </c>
      <c r="Z15" s="235"/>
      <c r="AA15" s="235"/>
      <c r="AB15" s="235"/>
      <c r="AC15" s="236"/>
    </row>
    <row r="16" spans="1:29">
      <c r="A16" s="13" t="s">
        <v>53</v>
      </c>
      <c r="B16" s="84" t="s">
        <v>22</v>
      </c>
      <c r="C16" s="49" t="s">
        <v>57</v>
      </c>
      <c r="D16" s="50"/>
      <c r="E16" s="50"/>
      <c r="F16" s="51"/>
      <c r="Q16" s="73" t="s">
        <v>30</v>
      </c>
      <c r="Y16" s="67" t="s">
        <v>71</v>
      </c>
      <c r="Z16" s="89">
        <v>240000</v>
      </c>
      <c r="AA16" s="89">
        <v>245000</v>
      </c>
      <c r="AB16" s="89">
        <v>258000</v>
      </c>
      <c r="AC16" s="90">
        <v>263000</v>
      </c>
    </row>
    <row r="17" spans="1:29">
      <c r="A17" s="14" t="s">
        <v>54</v>
      </c>
      <c r="B17" s="85" t="s">
        <v>22</v>
      </c>
      <c r="C17" s="45" t="s">
        <v>58</v>
      </c>
      <c r="D17" s="46"/>
      <c r="E17" s="46"/>
      <c r="F17" s="47"/>
      <c r="Q17" s="72"/>
      <c r="Y17" s="70">
        <f>+B55/1000</f>
        <v>556681.33538658707</v>
      </c>
      <c r="Z17" s="68">
        <f t="dataTable" ref="Z17:AC17" dt2D="0" dtr="1" r1="F8"/>
        <v>556681.33538658707</v>
      </c>
      <c r="AA17" s="68">
        <v>556681.33538658707</v>
      </c>
      <c r="AB17" s="68">
        <v>556681.33538658707</v>
      </c>
      <c r="AC17" s="69">
        <v>556681.33538658707</v>
      </c>
    </row>
    <row r="19" spans="1:29" ht="15">
      <c r="A19" s="237" t="s">
        <v>31</v>
      </c>
      <c r="B19" s="238"/>
      <c r="C19" s="238"/>
      <c r="D19" s="238"/>
      <c r="E19" s="238"/>
      <c r="F19" s="239"/>
      <c r="H19" s="74"/>
      <c r="I19" s="74"/>
      <c r="Q19" s="71"/>
      <c r="Y19" s="234" t="s">
        <v>69</v>
      </c>
      <c r="Z19" s="235"/>
      <c r="AA19" s="235"/>
      <c r="AB19" s="235"/>
      <c r="AC19" s="236"/>
    </row>
    <row r="20" spans="1:29">
      <c r="A20" s="13" t="s">
        <v>84</v>
      </c>
      <c r="B20" s="84" t="s">
        <v>22</v>
      </c>
      <c r="C20" s="121" t="s">
        <v>82</v>
      </c>
      <c r="D20" s="50"/>
      <c r="E20" s="50"/>
      <c r="F20" s="51"/>
      <c r="H20" s="74"/>
      <c r="I20" s="74"/>
      <c r="Q20" s="73" t="s">
        <v>31</v>
      </c>
      <c r="Y20" s="67" t="s">
        <v>71</v>
      </c>
      <c r="Z20" s="89">
        <v>240000</v>
      </c>
      <c r="AA20" s="89">
        <v>245000</v>
      </c>
      <c r="AB20" s="89">
        <v>258000</v>
      </c>
      <c r="AC20" s="90">
        <v>263000</v>
      </c>
    </row>
    <row r="21" spans="1:29">
      <c r="A21" s="14" t="s">
        <v>54</v>
      </c>
      <c r="B21" s="85" t="s">
        <v>22</v>
      </c>
      <c r="C21" s="45" t="s">
        <v>83</v>
      </c>
      <c r="D21" s="46"/>
      <c r="E21" s="46"/>
      <c r="F21" s="47"/>
      <c r="H21" s="75"/>
      <c r="I21" s="75"/>
      <c r="Q21" s="72"/>
      <c r="Y21" s="70">
        <f>+B68/1000</f>
        <v>547593.31999480422</v>
      </c>
      <c r="Z21" s="68">
        <f t="dataTable" ref="Z21:AC21" dt2D="0" dtr="1" r1="F8"/>
        <v>547593.31999480422</v>
      </c>
      <c r="AA21" s="68">
        <v>547593.31999480422</v>
      </c>
      <c r="AB21" s="68">
        <v>547593.31999480422</v>
      </c>
      <c r="AC21" s="69">
        <v>547593.31999480422</v>
      </c>
    </row>
    <row r="23" spans="1:29" ht="15">
      <c r="A23" s="237" t="s">
        <v>81</v>
      </c>
      <c r="B23" s="238"/>
      <c r="C23" s="238"/>
      <c r="D23" s="238"/>
      <c r="E23" s="238"/>
      <c r="F23" s="239"/>
      <c r="Q23" s="71"/>
      <c r="Y23" s="234" t="s">
        <v>69</v>
      </c>
      <c r="Z23" s="235"/>
      <c r="AA23" s="235"/>
      <c r="AB23" s="235"/>
      <c r="AC23" s="236"/>
    </row>
    <row r="24" spans="1:29">
      <c r="A24" s="13" t="s">
        <v>53</v>
      </c>
      <c r="B24" s="84" t="s">
        <v>28</v>
      </c>
      <c r="C24" s="39" t="s">
        <v>59</v>
      </c>
      <c r="D24" s="24"/>
      <c r="E24" s="24"/>
      <c r="F24" s="25"/>
      <c r="Q24" s="73" t="s">
        <v>81</v>
      </c>
      <c r="Y24" s="67" t="s">
        <v>71</v>
      </c>
      <c r="Z24" s="89">
        <v>240000</v>
      </c>
      <c r="AA24" s="89">
        <v>245000</v>
      </c>
      <c r="AB24" s="89">
        <v>258000</v>
      </c>
      <c r="AC24" s="90">
        <v>263000</v>
      </c>
    </row>
    <row r="25" spans="1:29">
      <c r="A25" s="14" t="s">
        <v>54</v>
      </c>
      <c r="B25" s="85" t="s">
        <v>22</v>
      </c>
      <c r="C25" s="52" t="s">
        <v>60</v>
      </c>
      <c r="D25" s="4"/>
      <c r="E25" s="4"/>
      <c r="F25" s="48"/>
      <c r="Q25" s="72"/>
      <c r="Y25" s="70">
        <f>+B81/1000</f>
        <v>527428.36687042401</v>
      </c>
      <c r="Z25" s="68">
        <f t="dataTable" ref="Z25:AC25" dt2D="0" dtr="1" r1="F8"/>
        <v>527428.36687042401</v>
      </c>
      <c r="AA25" s="68">
        <v>527428.36687042401</v>
      </c>
      <c r="AB25" s="68">
        <v>527428.36687042401</v>
      </c>
      <c r="AC25" s="69">
        <v>527428.36687042401</v>
      </c>
    </row>
    <row r="26" spans="1:29">
      <c r="C26" s="38"/>
    </row>
    <row r="28" spans="1:29">
      <c r="G28" s="110">
        <v>1997</v>
      </c>
      <c r="H28" s="111">
        <v>1998</v>
      </c>
      <c r="I28" s="111">
        <v>1999</v>
      </c>
      <c r="J28" s="111">
        <v>2000</v>
      </c>
      <c r="K28" s="111">
        <v>2001</v>
      </c>
      <c r="L28" s="111">
        <v>2002</v>
      </c>
      <c r="M28" s="111">
        <v>2003</v>
      </c>
      <c r="N28" s="111">
        <v>2004</v>
      </c>
      <c r="O28" s="111">
        <v>2005</v>
      </c>
      <c r="P28" s="111">
        <v>2006</v>
      </c>
      <c r="Q28" s="111">
        <v>2007</v>
      </c>
      <c r="R28" s="111">
        <v>2008</v>
      </c>
      <c r="S28" s="111">
        <v>2009</v>
      </c>
      <c r="T28" s="111">
        <v>2010</v>
      </c>
      <c r="U28" s="111">
        <v>2011</v>
      </c>
      <c r="V28" s="111">
        <v>2012</v>
      </c>
      <c r="W28" s="111">
        <v>2013</v>
      </c>
      <c r="X28" s="111">
        <v>2014</v>
      </c>
      <c r="Y28" s="111">
        <v>2015</v>
      </c>
      <c r="Z28" s="111">
        <v>2016</v>
      </c>
      <c r="AA28" s="111">
        <v>2017</v>
      </c>
      <c r="AB28" s="111">
        <v>2018</v>
      </c>
      <c r="AC28" s="112">
        <v>2019</v>
      </c>
    </row>
    <row r="29" spans="1:29">
      <c r="G29" s="23"/>
      <c r="H29" s="23"/>
      <c r="I29" s="23"/>
      <c r="J29" s="23"/>
      <c r="K29" s="23"/>
      <c r="L29" s="23"/>
      <c r="M29" s="23"/>
      <c r="N29" s="23"/>
      <c r="O29" s="23"/>
      <c r="P29" s="23"/>
      <c r="Q29" s="23"/>
      <c r="R29" s="23"/>
      <c r="S29" s="23"/>
      <c r="T29" s="23"/>
      <c r="U29" s="23"/>
      <c r="V29" s="23"/>
      <c r="W29" s="23"/>
      <c r="X29" s="23"/>
      <c r="Y29" s="23"/>
      <c r="Z29" s="23"/>
      <c r="AA29" s="23"/>
      <c r="AB29" s="23"/>
      <c r="AC29" s="23"/>
    </row>
    <row r="30" spans="1:29">
      <c r="A30" s="232" t="s">
        <v>32</v>
      </c>
      <c r="B30" s="232"/>
      <c r="C30" s="232"/>
      <c r="D30" s="232"/>
      <c r="E30" s="232"/>
      <c r="F30" s="232"/>
    </row>
    <row r="31" spans="1:29" ht="13.5" thickBot="1">
      <c r="A31" s="11" t="s">
        <v>21</v>
      </c>
      <c r="F31" t="s">
        <v>25</v>
      </c>
      <c r="G31" s="86">
        <v>13.6</v>
      </c>
      <c r="H31" s="86">
        <v>14.04</v>
      </c>
      <c r="I31" s="86">
        <v>14.57</v>
      </c>
      <c r="J31" s="86">
        <v>15.09</v>
      </c>
      <c r="K31" s="86">
        <v>15.65</v>
      </c>
      <c r="L31" s="86">
        <v>16.21</v>
      </c>
      <c r="M31" s="86">
        <v>16.87</v>
      </c>
      <c r="N31" s="86">
        <v>17.54</v>
      </c>
      <c r="O31" s="86">
        <v>18.18</v>
      </c>
      <c r="P31" s="86">
        <v>18.88</v>
      </c>
      <c r="Q31" s="86">
        <v>17.579999999999998</v>
      </c>
      <c r="R31" s="86">
        <v>18.13</v>
      </c>
      <c r="S31" s="86">
        <v>18.87</v>
      </c>
      <c r="T31" s="86">
        <v>19.52</v>
      </c>
      <c r="U31" s="86">
        <v>20.22</v>
      </c>
      <c r="V31" s="86">
        <v>20.99</v>
      </c>
      <c r="W31" s="86">
        <v>21.56</v>
      </c>
      <c r="X31" s="86">
        <v>21.71</v>
      </c>
      <c r="Y31" s="86">
        <v>22.02</v>
      </c>
      <c r="Z31" s="86">
        <v>22.18</v>
      </c>
      <c r="AA31" s="86">
        <v>23.13</v>
      </c>
      <c r="AB31" s="86">
        <v>23.58</v>
      </c>
      <c r="AC31" s="86">
        <v>24.07</v>
      </c>
    </row>
    <row r="32" spans="1:29" ht="13.5" thickBot="1">
      <c r="A32" s="11" t="s">
        <v>13</v>
      </c>
      <c r="C32" s="22">
        <f>+IF($B$12="yes",1,0)</f>
        <v>0</v>
      </c>
      <c r="D32" s="62" t="s">
        <v>61</v>
      </c>
      <c r="F32" t="s">
        <v>25</v>
      </c>
      <c r="G32" s="18">
        <f>+'Tenaska''s i Adjustment'!D$44*$C$32</f>
        <v>0</v>
      </c>
      <c r="H32" s="18">
        <f>+'Tenaska''s i Adjustment'!E$44*$C$32</f>
        <v>0</v>
      </c>
      <c r="I32" s="18">
        <f>+'Tenaska''s i Adjustment'!F$44*$C$32</f>
        <v>0</v>
      </c>
      <c r="J32" s="18">
        <f>+'Tenaska''s i Adjustment'!G$44*$C$32</f>
        <v>0</v>
      </c>
      <c r="K32" s="18">
        <f>+'Tenaska''s i Adjustment'!H$44*$C$32</f>
        <v>0</v>
      </c>
      <c r="L32" s="18">
        <f>+'Tenaska''s i Adjustment'!I$44*$C$32</f>
        <v>0</v>
      </c>
      <c r="M32" s="18">
        <f>+'Tenaska''s i Adjustment'!J$44*$C$32</f>
        <v>0</v>
      </c>
      <c r="N32" s="18">
        <f>+'Tenaska''s i Adjustment'!K$44*$C$32</f>
        <v>0</v>
      </c>
      <c r="O32" s="18">
        <f>+'Tenaska''s i Adjustment'!L$44*$C$32</f>
        <v>0</v>
      </c>
      <c r="P32" s="18">
        <f>+'Tenaska''s i Adjustment'!M$44*$C$32</f>
        <v>0</v>
      </c>
      <c r="Q32" s="18">
        <f>+'Tenaska''s i Adjustment'!N$44*$C$32</f>
        <v>0</v>
      </c>
      <c r="R32" s="18">
        <f>+'Tenaska''s i Adjustment'!O$44*$C$32</f>
        <v>0</v>
      </c>
      <c r="S32" s="18">
        <f>+'Tenaska''s i Adjustment'!P$44*$C$32</f>
        <v>0</v>
      </c>
      <c r="T32" s="18">
        <f>+'Tenaska''s i Adjustment'!Q$44*$C$32</f>
        <v>0</v>
      </c>
      <c r="U32" s="18">
        <f>+'Tenaska''s i Adjustment'!R$44*$C$32</f>
        <v>0</v>
      </c>
      <c r="V32" s="18">
        <f>+'Tenaska''s i Adjustment'!S$44*$C$32</f>
        <v>0</v>
      </c>
      <c r="W32" s="18">
        <f>+'Tenaska''s i Adjustment'!T$44*$C$32</f>
        <v>0</v>
      </c>
      <c r="X32" s="18">
        <f>+'Tenaska''s i Adjustment'!U$44*$C$32</f>
        <v>0</v>
      </c>
      <c r="Y32" s="18">
        <f>+'Tenaska''s i Adjustment'!V$44*$C$32</f>
        <v>0</v>
      </c>
      <c r="Z32" s="18">
        <f>+'Tenaska''s i Adjustment'!W$44*$C$32</f>
        <v>0</v>
      </c>
      <c r="AA32" s="18">
        <f>+'Tenaska''s i Adjustment'!X$44*$C$32</f>
        <v>0</v>
      </c>
      <c r="AB32" s="18">
        <f>+'Tenaska''s i Adjustment'!Y$44*$C$32</f>
        <v>0</v>
      </c>
      <c r="AC32" s="18">
        <f>+'Tenaska''s i Adjustment'!Z$44*$C$32</f>
        <v>0</v>
      </c>
    </row>
    <row r="33" spans="1:29" s="11" customFormat="1" ht="13.5" thickBot="1">
      <c r="A33" s="11" t="s">
        <v>20</v>
      </c>
      <c r="C33" s="22">
        <f>+IF($B$13="yes",1,0)</f>
        <v>0</v>
      </c>
      <c r="D33" s="62" t="s">
        <v>61</v>
      </c>
      <c r="F33" t="s">
        <v>25</v>
      </c>
      <c r="G33" s="16">
        <f>+'Damage Calculations'!G$85*'Damage Calculations'!$C$33</f>
        <v>0</v>
      </c>
      <c r="H33" s="16">
        <f>+'Damage Calculations'!H$85*'Damage Calculations'!$C$33</f>
        <v>0</v>
      </c>
      <c r="I33" s="16">
        <f>+'Damage Calculations'!I$85*'Damage Calculations'!$C$33</f>
        <v>0</v>
      </c>
      <c r="J33" s="16">
        <f>+'Damage Calculations'!J$85*'Damage Calculations'!$C$33</f>
        <v>0</v>
      </c>
      <c r="K33" s="16">
        <f>+'Damage Calculations'!K$85*'Damage Calculations'!$C$33</f>
        <v>0</v>
      </c>
      <c r="L33" s="16">
        <f>+'Damage Calculations'!L$85*'Damage Calculations'!$C$33</f>
        <v>0</v>
      </c>
      <c r="M33" s="16">
        <f>+'Damage Calculations'!M$85*'Damage Calculations'!$C$33</f>
        <v>0</v>
      </c>
      <c r="N33" s="16">
        <f>+'Damage Calculations'!N$85*'Damage Calculations'!$C$33</f>
        <v>0</v>
      </c>
      <c r="O33" s="16">
        <f>+'Damage Calculations'!O$85*'Damage Calculations'!$C$33</f>
        <v>0</v>
      </c>
      <c r="P33" s="16">
        <f>+'Damage Calculations'!P$85*'Damage Calculations'!$C$33</f>
        <v>0</v>
      </c>
      <c r="Q33" s="16">
        <f>+'Damage Calculations'!Q$85*'Damage Calculations'!$C$33</f>
        <v>0</v>
      </c>
      <c r="R33" s="16">
        <f>+'Damage Calculations'!R$85*'Damage Calculations'!$C$33</f>
        <v>0</v>
      </c>
      <c r="S33" s="16">
        <f>+'Damage Calculations'!S$85*'Damage Calculations'!$C$33</f>
        <v>0</v>
      </c>
      <c r="T33" s="16">
        <f>+'Damage Calculations'!T$85*'Damage Calculations'!$C$33</f>
        <v>0</v>
      </c>
      <c r="U33" s="16">
        <f>+'Damage Calculations'!U$85*'Damage Calculations'!$C$33</f>
        <v>0</v>
      </c>
      <c r="V33" s="16">
        <f>+'Damage Calculations'!V$85*'Damage Calculations'!$C$33</f>
        <v>0</v>
      </c>
      <c r="W33" s="16">
        <f>+'Damage Calculations'!W$85*'Damage Calculations'!$C$33</f>
        <v>0</v>
      </c>
      <c r="X33" s="16">
        <f>+'Damage Calculations'!X$85*'Damage Calculations'!$C$33</f>
        <v>0</v>
      </c>
      <c r="Y33" s="16">
        <f>+'Damage Calculations'!Y$85*'Damage Calculations'!$C$33</f>
        <v>0</v>
      </c>
      <c r="Z33" s="16">
        <f>+'Damage Calculations'!Z$85*'Damage Calculations'!$C$33</f>
        <v>0</v>
      </c>
      <c r="AA33" s="16">
        <f>+'Damage Calculations'!AA$85*'Damage Calculations'!$C$33</f>
        <v>0</v>
      </c>
      <c r="AB33" s="16">
        <f>+'Damage Calculations'!AB$85*'Damage Calculations'!$C$33</f>
        <v>0</v>
      </c>
      <c r="AC33" s="16">
        <f>+'Damage Calculations'!AC$85*'Damage Calculations'!$C$33</f>
        <v>0</v>
      </c>
    </row>
    <row r="34" spans="1:29">
      <c r="A34" s="11" t="s">
        <v>27</v>
      </c>
      <c r="D34" s="20"/>
      <c r="F34" t="s">
        <v>25</v>
      </c>
      <c r="G34" s="87">
        <v>-1.96</v>
      </c>
      <c r="H34" s="87">
        <v>-2.12</v>
      </c>
      <c r="I34" s="87">
        <v>-3.94</v>
      </c>
      <c r="J34" s="87">
        <v>-2.2400000000000002</v>
      </c>
      <c r="K34" s="87">
        <v>-3.42</v>
      </c>
      <c r="L34" s="87">
        <v>-5.95</v>
      </c>
      <c r="M34" s="87">
        <v>-2.65</v>
      </c>
      <c r="N34" s="87">
        <v>-2.74</v>
      </c>
      <c r="O34" s="87">
        <v>-5.33</v>
      </c>
      <c r="P34" s="87">
        <v>-4.45</v>
      </c>
      <c r="Q34" s="87">
        <v>-3.19</v>
      </c>
      <c r="R34" s="87">
        <v>-10.45</v>
      </c>
      <c r="S34" s="87">
        <v>-3.53</v>
      </c>
      <c r="T34" s="87">
        <v>-3.75</v>
      </c>
      <c r="U34" s="87">
        <v>-6.74</v>
      </c>
      <c r="V34" s="87">
        <v>-4.08</v>
      </c>
      <c r="W34" s="87">
        <v>-4.32</v>
      </c>
      <c r="X34" s="87">
        <v>-9.2100000000000009</v>
      </c>
      <c r="Y34" s="87">
        <v>-4.7300000000000004</v>
      </c>
      <c r="Z34" s="87">
        <v>-4.99</v>
      </c>
      <c r="AA34" s="87">
        <v>-10.49</v>
      </c>
      <c r="AB34" s="87">
        <v>-5.5</v>
      </c>
      <c r="AC34" s="87">
        <v>-8.8699999999999992</v>
      </c>
    </row>
    <row r="35" spans="1:29" s="11" customFormat="1">
      <c r="A35" s="11" t="s">
        <v>23</v>
      </c>
      <c r="D35" s="62"/>
      <c r="F35" t="s">
        <v>25</v>
      </c>
      <c r="G35" s="16">
        <f t="shared" ref="G35:AC35" si="0">SUM(G31:G34)</f>
        <v>11.64</v>
      </c>
      <c r="H35" s="16">
        <f t="shared" si="0"/>
        <v>11.919999999999998</v>
      </c>
      <c r="I35" s="16">
        <f t="shared" si="0"/>
        <v>10.63</v>
      </c>
      <c r="J35" s="16">
        <f t="shared" si="0"/>
        <v>12.85</v>
      </c>
      <c r="K35" s="16">
        <f t="shared" si="0"/>
        <v>12.23</v>
      </c>
      <c r="L35" s="16">
        <f t="shared" si="0"/>
        <v>10.260000000000002</v>
      </c>
      <c r="M35" s="16">
        <f t="shared" si="0"/>
        <v>14.22</v>
      </c>
      <c r="N35" s="16">
        <f t="shared" si="0"/>
        <v>14.799999999999999</v>
      </c>
      <c r="O35" s="16">
        <f t="shared" si="0"/>
        <v>12.85</v>
      </c>
      <c r="P35" s="16">
        <f t="shared" si="0"/>
        <v>14.43</v>
      </c>
      <c r="Q35" s="16">
        <f t="shared" si="0"/>
        <v>14.389999999999999</v>
      </c>
      <c r="R35" s="16">
        <f t="shared" si="0"/>
        <v>7.68</v>
      </c>
      <c r="S35" s="16">
        <f t="shared" si="0"/>
        <v>15.340000000000002</v>
      </c>
      <c r="T35" s="16">
        <f t="shared" si="0"/>
        <v>15.77</v>
      </c>
      <c r="U35" s="16">
        <f t="shared" si="0"/>
        <v>13.479999999999999</v>
      </c>
      <c r="V35" s="16">
        <f t="shared" si="0"/>
        <v>16.909999999999997</v>
      </c>
      <c r="W35" s="16">
        <f t="shared" si="0"/>
        <v>17.239999999999998</v>
      </c>
      <c r="X35" s="16">
        <f t="shared" si="0"/>
        <v>12.5</v>
      </c>
      <c r="Y35" s="16">
        <f t="shared" si="0"/>
        <v>17.29</v>
      </c>
      <c r="Z35" s="16">
        <f t="shared" si="0"/>
        <v>17.189999999999998</v>
      </c>
      <c r="AA35" s="16">
        <f t="shared" si="0"/>
        <v>12.639999999999999</v>
      </c>
      <c r="AB35" s="16">
        <f t="shared" si="0"/>
        <v>18.079999999999998</v>
      </c>
      <c r="AC35" s="16">
        <f t="shared" si="0"/>
        <v>15.200000000000001</v>
      </c>
    </row>
    <row r="36" spans="1:29" s="8" customFormat="1">
      <c r="A36" s="11" t="s">
        <v>17</v>
      </c>
      <c r="D36" s="17"/>
      <c r="G36" s="88">
        <v>12</v>
      </c>
      <c r="H36" s="63">
        <f>+G36</f>
        <v>12</v>
      </c>
      <c r="I36" s="63">
        <f t="shared" ref="I36:AC36" si="1">+H36</f>
        <v>12</v>
      </c>
      <c r="J36" s="63">
        <f t="shared" si="1"/>
        <v>12</v>
      </c>
      <c r="K36" s="63">
        <f t="shared" si="1"/>
        <v>12</v>
      </c>
      <c r="L36" s="63">
        <f t="shared" si="1"/>
        <v>12</v>
      </c>
      <c r="M36" s="63">
        <f t="shared" si="1"/>
        <v>12</v>
      </c>
      <c r="N36" s="63">
        <f t="shared" si="1"/>
        <v>12</v>
      </c>
      <c r="O36" s="63">
        <f t="shared" si="1"/>
        <v>12</v>
      </c>
      <c r="P36" s="63">
        <f t="shared" si="1"/>
        <v>12</v>
      </c>
      <c r="Q36" s="63">
        <f t="shared" si="1"/>
        <v>12</v>
      </c>
      <c r="R36" s="63">
        <f t="shared" si="1"/>
        <v>12</v>
      </c>
      <c r="S36" s="63">
        <f t="shared" si="1"/>
        <v>12</v>
      </c>
      <c r="T36" s="63">
        <f t="shared" si="1"/>
        <v>12</v>
      </c>
      <c r="U36" s="63">
        <f t="shared" si="1"/>
        <v>12</v>
      </c>
      <c r="V36" s="63">
        <f t="shared" si="1"/>
        <v>12</v>
      </c>
      <c r="W36" s="63">
        <f t="shared" si="1"/>
        <v>12</v>
      </c>
      <c r="X36" s="63">
        <f t="shared" si="1"/>
        <v>12</v>
      </c>
      <c r="Y36" s="63">
        <f t="shared" si="1"/>
        <v>12</v>
      </c>
      <c r="Z36" s="63">
        <f t="shared" si="1"/>
        <v>12</v>
      </c>
      <c r="AA36" s="63">
        <f t="shared" si="1"/>
        <v>12</v>
      </c>
      <c r="AB36" s="63">
        <f t="shared" si="1"/>
        <v>12</v>
      </c>
      <c r="AC36" s="63">
        <f t="shared" si="1"/>
        <v>12</v>
      </c>
    </row>
    <row r="37" spans="1:29">
      <c r="A37" s="11" t="s">
        <v>16</v>
      </c>
      <c r="D37" s="20"/>
      <c r="F37" t="s">
        <v>26</v>
      </c>
      <c r="G37" s="15">
        <f>+$F$8</f>
        <v>263000</v>
      </c>
      <c r="H37" s="15">
        <f>+G37</f>
        <v>263000</v>
      </c>
      <c r="I37" s="15">
        <f t="shared" ref="I37:AC37" si="2">+H37</f>
        <v>263000</v>
      </c>
      <c r="J37" s="15">
        <f t="shared" si="2"/>
        <v>263000</v>
      </c>
      <c r="K37" s="15">
        <f t="shared" si="2"/>
        <v>263000</v>
      </c>
      <c r="L37" s="15">
        <f t="shared" si="2"/>
        <v>263000</v>
      </c>
      <c r="M37" s="15">
        <f t="shared" si="2"/>
        <v>263000</v>
      </c>
      <c r="N37" s="15">
        <f t="shared" si="2"/>
        <v>263000</v>
      </c>
      <c r="O37" s="15">
        <f t="shared" si="2"/>
        <v>263000</v>
      </c>
      <c r="P37" s="15">
        <f t="shared" si="2"/>
        <v>263000</v>
      </c>
      <c r="Q37" s="15">
        <f t="shared" si="2"/>
        <v>263000</v>
      </c>
      <c r="R37" s="15">
        <f t="shared" si="2"/>
        <v>263000</v>
      </c>
      <c r="S37" s="15">
        <f t="shared" si="2"/>
        <v>263000</v>
      </c>
      <c r="T37" s="15">
        <f t="shared" si="2"/>
        <v>263000</v>
      </c>
      <c r="U37" s="15">
        <f t="shared" si="2"/>
        <v>263000</v>
      </c>
      <c r="V37" s="15">
        <f t="shared" si="2"/>
        <v>263000</v>
      </c>
      <c r="W37" s="15">
        <f t="shared" si="2"/>
        <v>263000</v>
      </c>
      <c r="X37" s="15">
        <f t="shared" si="2"/>
        <v>263000</v>
      </c>
      <c r="Y37" s="15">
        <f t="shared" si="2"/>
        <v>263000</v>
      </c>
      <c r="Z37" s="15">
        <f t="shared" si="2"/>
        <v>263000</v>
      </c>
      <c r="AA37" s="15">
        <f t="shared" si="2"/>
        <v>263000</v>
      </c>
      <c r="AB37" s="15">
        <f t="shared" si="2"/>
        <v>263000</v>
      </c>
      <c r="AC37" s="15">
        <f t="shared" si="2"/>
        <v>263000</v>
      </c>
    </row>
    <row r="38" spans="1:29" s="6" customFormat="1">
      <c r="A38" s="53" t="s">
        <v>18</v>
      </c>
      <c r="D38" s="58"/>
      <c r="G38" s="53">
        <f>+G37*G36*G35</f>
        <v>36735840</v>
      </c>
      <c r="H38" s="53">
        <f t="shared" ref="H38:AC38" si="3">+H37*H36*H35</f>
        <v>37619519.999999993</v>
      </c>
      <c r="I38" s="53">
        <f t="shared" si="3"/>
        <v>33548280.000000004</v>
      </c>
      <c r="J38" s="53">
        <f t="shared" si="3"/>
        <v>40554600</v>
      </c>
      <c r="K38" s="53">
        <f t="shared" si="3"/>
        <v>38597880</v>
      </c>
      <c r="L38" s="53">
        <f t="shared" si="3"/>
        <v>32380560.000000004</v>
      </c>
      <c r="M38" s="53">
        <f t="shared" si="3"/>
        <v>44878320</v>
      </c>
      <c r="N38" s="53">
        <f t="shared" si="3"/>
        <v>46708800</v>
      </c>
      <c r="O38" s="53">
        <f t="shared" si="3"/>
        <v>40554600</v>
      </c>
      <c r="P38" s="53">
        <f t="shared" si="3"/>
        <v>45541080</v>
      </c>
      <c r="Q38" s="53">
        <f t="shared" si="3"/>
        <v>45414839.999999993</v>
      </c>
      <c r="R38" s="53">
        <f t="shared" si="3"/>
        <v>24238080</v>
      </c>
      <c r="S38" s="53">
        <f t="shared" si="3"/>
        <v>48413040.000000007</v>
      </c>
      <c r="T38" s="53">
        <f t="shared" si="3"/>
        <v>49770120</v>
      </c>
      <c r="U38" s="53">
        <f t="shared" si="3"/>
        <v>42542879.999999993</v>
      </c>
      <c r="V38" s="53">
        <f t="shared" si="3"/>
        <v>53367959.999999993</v>
      </c>
      <c r="W38" s="53">
        <f t="shared" si="3"/>
        <v>54409439.999999993</v>
      </c>
      <c r="X38" s="53">
        <f t="shared" si="3"/>
        <v>39450000</v>
      </c>
      <c r="Y38" s="53">
        <f t="shared" si="3"/>
        <v>54567240</v>
      </c>
      <c r="Z38" s="53">
        <f t="shared" si="3"/>
        <v>54251639.999999993</v>
      </c>
      <c r="AA38" s="53">
        <f t="shared" si="3"/>
        <v>39891839.999999993</v>
      </c>
      <c r="AB38" s="53">
        <f t="shared" si="3"/>
        <v>57060479.999999993</v>
      </c>
      <c r="AC38" s="53">
        <f t="shared" si="3"/>
        <v>47971200</v>
      </c>
    </row>
    <row r="39" spans="1:29" s="6" customFormat="1">
      <c r="A39" s="53" t="s">
        <v>19</v>
      </c>
      <c r="D39" s="58"/>
      <c r="G39" s="53">
        <f t="shared" ref="G39:AC39" si="4">+G38/G36</f>
        <v>3061320</v>
      </c>
      <c r="H39" s="53">
        <f t="shared" si="4"/>
        <v>3134959.9999999995</v>
      </c>
      <c r="I39" s="53">
        <f t="shared" si="4"/>
        <v>2795690.0000000005</v>
      </c>
      <c r="J39" s="53">
        <f t="shared" si="4"/>
        <v>3379550</v>
      </c>
      <c r="K39" s="53">
        <f t="shared" si="4"/>
        <v>3216490</v>
      </c>
      <c r="L39" s="53">
        <f t="shared" si="4"/>
        <v>2698380.0000000005</v>
      </c>
      <c r="M39" s="53">
        <f t="shared" si="4"/>
        <v>3739860</v>
      </c>
      <c r="N39" s="53">
        <f t="shared" si="4"/>
        <v>3892400</v>
      </c>
      <c r="O39" s="53">
        <f t="shared" si="4"/>
        <v>3379550</v>
      </c>
      <c r="P39" s="53">
        <f t="shared" si="4"/>
        <v>3795090</v>
      </c>
      <c r="Q39" s="53">
        <f t="shared" si="4"/>
        <v>3784569.9999999995</v>
      </c>
      <c r="R39" s="53">
        <f t="shared" si="4"/>
        <v>2019840</v>
      </c>
      <c r="S39" s="53">
        <f t="shared" si="4"/>
        <v>4034420.0000000005</v>
      </c>
      <c r="T39" s="53">
        <f t="shared" si="4"/>
        <v>4147510</v>
      </c>
      <c r="U39" s="53">
        <f t="shared" si="4"/>
        <v>3545239.9999999995</v>
      </c>
      <c r="V39" s="53">
        <f t="shared" si="4"/>
        <v>4447329.9999999991</v>
      </c>
      <c r="W39" s="53">
        <f t="shared" si="4"/>
        <v>4534119.9999999991</v>
      </c>
      <c r="X39" s="53">
        <f t="shared" si="4"/>
        <v>3287500</v>
      </c>
      <c r="Y39" s="53">
        <f t="shared" si="4"/>
        <v>4547270</v>
      </c>
      <c r="Z39" s="53">
        <f t="shared" si="4"/>
        <v>4520969.9999999991</v>
      </c>
      <c r="AA39" s="53">
        <f t="shared" si="4"/>
        <v>3324319.9999999995</v>
      </c>
      <c r="AB39" s="53">
        <f t="shared" si="4"/>
        <v>4755039.9999999991</v>
      </c>
      <c r="AC39" s="53">
        <f t="shared" si="4"/>
        <v>3997600</v>
      </c>
    </row>
    <row r="40" spans="1:29" s="6" customFormat="1" ht="13.5" thickBot="1">
      <c r="D40" s="58"/>
    </row>
    <row r="41" spans="1:29" s="6" customFormat="1">
      <c r="A41" s="95" t="str">
        <f>CONCATENATE("XNPV",ROUND($F$9*100,2)," at 12/31/96")</f>
        <v>XNPV5 at 12/31/96</v>
      </c>
      <c r="B41" s="96">
        <v>586133469.49314284</v>
      </c>
      <c r="D41" s="58"/>
    </row>
    <row r="42" spans="1:29" s="6" customFormat="1" ht="13.5" thickBot="1">
      <c r="A42" s="97" t="str">
        <f>CONCATENATE("XNPV",ROUND($F$9*100,2)," at 12/31/00")</f>
        <v>XNPV5 at 12/31/00</v>
      </c>
      <c r="B42" s="98">
        <v>548419739.23546267</v>
      </c>
      <c r="D42" s="58"/>
    </row>
    <row r="43" spans="1:29" s="6" customFormat="1">
      <c r="D43" s="58"/>
    </row>
    <row r="44" spans="1:29">
      <c r="A44" s="232" t="s">
        <v>33</v>
      </c>
      <c r="B44" s="232"/>
      <c r="C44" s="232"/>
      <c r="D44" s="232"/>
      <c r="E44" s="232"/>
      <c r="F44" s="232"/>
    </row>
    <row r="45" spans="1:29" ht="13.5" thickBot="1">
      <c r="A45" s="11" t="s">
        <v>21</v>
      </c>
      <c r="D45" s="20"/>
      <c r="F45" t="s">
        <v>25</v>
      </c>
      <c r="G45" s="18">
        <f>+G31</f>
        <v>13.6</v>
      </c>
      <c r="H45" s="18">
        <f t="shared" ref="H45:AC45" si="5">+H31</f>
        <v>14.04</v>
      </c>
      <c r="I45" s="18">
        <f t="shared" si="5"/>
        <v>14.57</v>
      </c>
      <c r="J45" s="18">
        <f t="shared" si="5"/>
        <v>15.09</v>
      </c>
      <c r="K45" s="18">
        <f t="shared" si="5"/>
        <v>15.65</v>
      </c>
      <c r="L45" s="18">
        <f t="shared" si="5"/>
        <v>16.21</v>
      </c>
      <c r="M45" s="18">
        <f t="shared" si="5"/>
        <v>16.87</v>
      </c>
      <c r="N45" s="18">
        <f t="shared" si="5"/>
        <v>17.54</v>
      </c>
      <c r="O45" s="18">
        <f t="shared" si="5"/>
        <v>18.18</v>
      </c>
      <c r="P45" s="18">
        <f t="shared" si="5"/>
        <v>18.88</v>
      </c>
      <c r="Q45" s="18">
        <f t="shared" si="5"/>
        <v>17.579999999999998</v>
      </c>
      <c r="R45" s="18">
        <f t="shared" si="5"/>
        <v>18.13</v>
      </c>
      <c r="S45" s="18">
        <f t="shared" si="5"/>
        <v>18.87</v>
      </c>
      <c r="T45" s="18">
        <f t="shared" si="5"/>
        <v>19.52</v>
      </c>
      <c r="U45" s="18">
        <f t="shared" si="5"/>
        <v>20.22</v>
      </c>
      <c r="V45" s="18">
        <f t="shared" si="5"/>
        <v>20.99</v>
      </c>
      <c r="W45" s="18">
        <f t="shared" si="5"/>
        <v>21.56</v>
      </c>
      <c r="X45" s="18">
        <f t="shared" si="5"/>
        <v>21.71</v>
      </c>
      <c r="Y45" s="18">
        <f t="shared" si="5"/>
        <v>22.02</v>
      </c>
      <c r="Z45" s="18">
        <f t="shared" si="5"/>
        <v>22.18</v>
      </c>
      <c r="AA45" s="18">
        <f t="shared" si="5"/>
        <v>23.13</v>
      </c>
      <c r="AB45" s="18">
        <f t="shared" si="5"/>
        <v>23.58</v>
      </c>
      <c r="AC45" s="18">
        <f t="shared" si="5"/>
        <v>24.07</v>
      </c>
    </row>
    <row r="46" spans="1:29" ht="13.5" thickBot="1">
      <c r="A46" s="11" t="s">
        <v>13</v>
      </c>
      <c r="C46" s="22">
        <f>+IF($B$16="yes",1,0)</f>
        <v>1</v>
      </c>
      <c r="D46" s="62" t="s">
        <v>61</v>
      </c>
      <c r="F46" t="s">
        <v>25</v>
      </c>
      <c r="G46" s="18">
        <f>+'Tenaska''s i Adjustment'!D$44*$C$46</f>
        <v>1.1960763712899549</v>
      </c>
      <c r="H46" s="18">
        <f>+'Tenaska''s i Adjustment'!E44*$C$46</f>
        <v>1.1884155396808413</v>
      </c>
      <c r="I46" s="18">
        <f>+'Tenaska''s i Adjustment'!F44*$C$46</f>
        <v>1.1786378840253999</v>
      </c>
      <c r="J46" s="18">
        <f>+'Tenaska''s i Adjustment'!G44*$C$46</f>
        <v>1.165462138092181</v>
      </c>
      <c r="K46" s="18">
        <f>+'Tenaska''s i Adjustment'!H44*$C$46</f>
        <v>1.1488883018811837</v>
      </c>
      <c r="L46" s="18">
        <f>+'Tenaska''s i Adjustment'!I44*$C$46</f>
        <v>1.1301988053534062</v>
      </c>
      <c r="M46" s="18">
        <f>+'Tenaska''s i Adjustment'!J44*$C$46</f>
        <v>1.1102268788646312</v>
      </c>
      <c r="N46" s="18">
        <f>+'Tenaska''s i Adjustment'!K44*$C$46</f>
        <v>1.086856862098079</v>
      </c>
      <c r="O46" s="18">
        <f>+'Tenaska''s i Adjustment'!L44*$C$46</f>
        <v>1.0600887550537486</v>
      </c>
      <c r="P46" s="18">
        <f>+'Tenaska''s i Adjustment'!M44*$C$46</f>
        <v>1.0299225577316404</v>
      </c>
      <c r="Q46" s="18">
        <f>+'Tenaska''s i Adjustment'!N44*$C$46</f>
        <v>0.98235413495766777</v>
      </c>
      <c r="R46" s="18">
        <f>+'Tenaska''s i Adjustment'!O44*$C$46</f>
        <v>0.90489899614963876</v>
      </c>
      <c r="S46" s="18">
        <f>+'Tenaska''s i Adjustment'!P44*$C$46</f>
        <v>0.82194863332144241</v>
      </c>
      <c r="T46" s="18">
        <f>+'Tenaska''s i Adjustment'!Q44*$C$46</f>
        <v>0.73822564717227956</v>
      </c>
      <c r="U46" s="18">
        <f>+'Tenaska''s i Adjustment'!R44*$C$46</f>
        <v>0.64168469210188384</v>
      </c>
      <c r="V46" s="122">
        <f>+'Tenaska''s i Adjustment'!S44*$C$46</f>
        <v>0.52821814727264094</v>
      </c>
      <c r="W46" s="122">
        <f>+'Tenaska''s i Adjustment'!T44*$C$46</f>
        <v>0.39702189459189502</v>
      </c>
      <c r="X46" s="122">
        <f>+'Tenaska''s i Adjustment'!U44*$C$46</f>
        <v>0.3005980770971271</v>
      </c>
      <c r="Y46" s="122">
        <f>+'Tenaska''s i Adjustment'!V44*$C$46</f>
        <v>0.19447305247788232</v>
      </c>
      <c r="Z46" s="122">
        <f>+'Tenaska''s i Adjustment'!W44*$C$46</f>
        <v>7.7267594178082044E-2</v>
      </c>
      <c r="AA46" s="123">
        <f>+'Tenaska''s i Adjustment'!X44*$C$46</f>
        <v>-1.9483871306470579E-16</v>
      </c>
      <c r="AB46" s="123">
        <f>+'Tenaska''s i Adjustment'!Y44*$C$46</f>
        <v>-1.9483871306470579E-16</v>
      </c>
      <c r="AC46" s="123">
        <f>+'Tenaska''s i Adjustment'!Z44*$C$46</f>
        <v>-1.9483871306470579E-16</v>
      </c>
    </row>
    <row r="47" spans="1:29" s="11" customFormat="1" ht="13.5" thickBot="1">
      <c r="A47" s="11" t="s">
        <v>20</v>
      </c>
      <c r="C47" s="22">
        <f>+IF($B$17="yes",1,0)</f>
        <v>1</v>
      </c>
      <c r="D47" s="62" t="s">
        <v>61</v>
      </c>
      <c r="F47" t="s">
        <v>25</v>
      </c>
      <c r="G47" s="16">
        <f>+'Damage Calculations'!G$85*'Damage Calculations'!$C$47</f>
        <v>0</v>
      </c>
      <c r="H47" s="16">
        <f>+'Damage Calculations'!H$85*'Damage Calculations'!$C$47</f>
        <v>0</v>
      </c>
      <c r="I47" s="16">
        <f>+'Damage Calculations'!I$85*'Damage Calculations'!$C$47</f>
        <v>0</v>
      </c>
      <c r="J47" s="16">
        <f>+'Damage Calculations'!J$85*'Damage Calculations'!$C$47</f>
        <v>-1.08</v>
      </c>
      <c r="K47" s="16">
        <f>+'Damage Calculations'!K$85*'Damage Calculations'!$C$47</f>
        <v>-1.1299999999999999</v>
      </c>
      <c r="L47" s="16">
        <f>+'Damage Calculations'!L$85*'Damage Calculations'!$C$47</f>
        <v>-1.19</v>
      </c>
      <c r="M47" s="16">
        <f>+'Damage Calculations'!M$85*'Damage Calculations'!$C$47</f>
        <v>-1.25</v>
      </c>
      <c r="N47" s="16">
        <f>+'Damage Calculations'!N$85*'Damage Calculations'!$C$47</f>
        <v>-1.31</v>
      </c>
      <c r="O47" s="16">
        <f>+'Damage Calculations'!O$85*'Damage Calculations'!$C$47</f>
        <v>-1.38</v>
      </c>
      <c r="P47" s="16">
        <f>+'Damage Calculations'!P$85*'Damage Calculations'!$C$47</f>
        <v>-1.45</v>
      </c>
      <c r="Q47" s="16">
        <f>+'Damage Calculations'!Q$85*'Damage Calculations'!$C$47</f>
        <v>0</v>
      </c>
      <c r="R47" s="16">
        <f>+'Damage Calculations'!R$85*'Damage Calculations'!$C$47</f>
        <v>0</v>
      </c>
      <c r="S47" s="16">
        <f>+'Damage Calculations'!S$85*'Damage Calculations'!$C$47</f>
        <v>0</v>
      </c>
      <c r="T47" s="16">
        <f>+'Damage Calculations'!T$85*'Damage Calculations'!$C$47</f>
        <v>0</v>
      </c>
      <c r="U47" s="16">
        <f>+'Damage Calculations'!U$85*'Damage Calculations'!$C$47</f>
        <v>0</v>
      </c>
      <c r="V47" s="16">
        <f>+'Damage Calculations'!V$85*'Damage Calculations'!$C$47</f>
        <v>0</v>
      </c>
      <c r="W47" s="16">
        <f>+'Damage Calculations'!W$85*'Damage Calculations'!$C$47</f>
        <v>0</v>
      </c>
      <c r="X47" s="16">
        <f>+'Damage Calculations'!X$85*'Damage Calculations'!$C$47</f>
        <v>0</v>
      </c>
      <c r="Y47" s="16">
        <f>+'Damage Calculations'!Y$85*'Damage Calculations'!$C$47</f>
        <v>0</v>
      </c>
      <c r="Z47" s="16">
        <f>+'Damage Calculations'!Z$85*'Damage Calculations'!$C$47</f>
        <v>0</v>
      </c>
      <c r="AA47" s="16">
        <f>+'Damage Calculations'!AA$85*'Damage Calculations'!$C$47</f>
        <v>0</v>
      </c>
      <c r="AB47" s="16">
        <f>+'Damage Calculations'!AB$85*'Damage Calculations'!$C$47</f>
        <v>0</v>
      </c>
      <c r="AC47" s="16">
        <f>+'Damage Calculations'!AC$85*'Damage Calculations'!$C$47</f>
        <v>0</v>
      </c>
    </row>
    <row r="48" spans="1:29">
      <c r="A48" s="11" t="s">
        <v>27</v>
      </c>
      <c r="D48" s="20"/>
      <c r="F48" t="s">
        <v>25</v>
      </c>
      <c r="G48" s="19">
        <f>+G34</f>
        <v>-1.96</v>
      </c>
      <c r="H48" s="19">
        <f t="shared" ref="H48:AC48" si="6">+H34</f>
        <v>-2.12</v>
      </c>
      <c r="I48" s="19">
        <f t="shared" si="6"/>
        <v>-3.94</v>
      </c>
      <c r="J48" s="19">
        <f t="shared" si="6"/>
        <v>-2.2400000000000002</v>
      </c>
      <c r="K48" s="19">
        <f t="shared" si="6"/>
        <v>-3.42</v>
      </c>
      <c r="L48" s="19">
        <f t="shared" si="6"/>
        <v>-5.95</v>
      </c>
      <c r="M48" s="19">
        <f t="shared" si="6"/>
        <v>-2.65</v>
      </c>
      <c r="N48" s="19">
        <f t="shared" si="6"/>
        <v>-2.74</v>
      </c>
      <c r="O48" s="19">
        <f t="shared" si="6"/>
        <v>-5.33</v>
      </c>
      <c r="P48" s="19">
        <f t="shared" si="6"/>
        <v>-4.45</v>
      </c>
      <c r="Q48" s="19">
        <f t="shared" si="6"/>
        <v>-3.19</v>
      </c>
      <c r="R48" s="19">
        <f t="shared" si="6"/>
        <v>-10.45</v>
      </c>
      <c r="S48" s="19">
        <f t="shared" si="6"/>
        <v>-3.53</v>
      </c>
      <c r="T48" s="19">
        <f t="shared" si="6"/>
        <v>-3.75</v>
      </c>
      <c r="U48" s="19">
        <f t="shared" si="6"/>
        <v>-6.74</v>
      </c>
      <c r="V48" s="19">
        <f t="shared" si="6"/>
        <v>-4.08</v>
      </c>
      <c r="W48" s="19">
        <f t="shared" si="6"/>
        <v>-4.32</v>
      </c>
      <c r="X48" s="19">
        <f t="shared" si="6"/>
        <v>-9.2100000000000009</v>
      </c>
      <c r="Y48" s="19">
        <f t="shared" si="6"/>
        <v>-4.7300000000000004</v>
      </c>
      <c r="Z48" s="19">
        <f t="shared" si="6"/>
        <v>-4.99</v>
      </c>
      <c r="AA48" s="19">
        <f t="shared" si="6"/>
        <v>-10.49</v>
      </c>
      <c r="AB48" s="19">
        <f t="shared" si="6"/>
        <v>-5.5</v>
      </c>
      <c r="AC48" s="19">
        <f t="shared" si="6"/>
        <v>-8.8699999999999992</v>
      </c>
    </row>
    <row r="49" spans="1:30">
      <c r="A49" s="11" t="s">
        <v>23</v>
      </c>
      <c r="D49" s="20"/>
      <c r="F49" t="s">
        <v>25</v>
      </c>
      <c r="G49" s="18">
        <f t="shared" ref="G49:AC49" si="7">SUM(G45:G48)</f>
        <v>12.836076371289955</v>
      </c>
      <c r="H49" s="18">
        <f t="shared" si="7"/>
        <v>13.108415539680841</v>
      </c>
      <c r="I49" s="18">
        <f t="shared" si="7"/>
        <v>11.808637884025401</v>
      </c>
      <c r="J49" s="18">
        <f t="shared" si="7"/>
        <v>12.935462138092181</v>
      </c>
      <c r="K49" s="18">
        <f t="shared" si="7"/>
        <v>12.248888301881186</v>
      </c>
      <c r="L49" s="18">
        <f t="shared" si="7"/>
        <v>10.200198805353406</v>
      </c>
      <c r="M49" s="18">
        <f t="shared" si="7"/>
        <v>14.080226878864631</v>
      </c>
      <c r="N49" s="18">
        <f t="shared" si="7"/>
        <v>14.576856862098078</v>
      </c>
      <c r="O49" s="18">
        <f t="shared" si="7"/>
        <v>12.530088755053749</v>
      </c>
      <c r="P49" s="18">
        <f t="shared" si="7"/>
        <v>14.009922557731642</v>
      </c>
      <c r="Q49" s="18">
        <f t="shared" si="7"/>
        <v>15.372354134957666</v>
      </c>
      <c r="R49" s="18">
        <f t="shared" si="7"/>
        <v>8.58489899614964</v>
      </c>
      <c r="S49" s="18">
        <f t="shared" si="7"/>
        <v>16.161948633321444</v>
      </c>
      <c r="T49" s="18">
        <f t="shared" si="7"/>
        <v>16.508225647172278</v>
      </c>
      <c r="U49" s="18">
        <f t="shared" si="7"/>
        <v>14.121684692101882</v>
      </c>
      <c r="V49" s="18">
        <f t="shared" si="7"/>
        <v>17.438218147272636</v>
      </c>
      <c r="W49" s="18">
        <f t="shared" si="7"/>
        <v>17.637021894591893</v>
      </c>
      <c r="X49" s="18">
        <f t="shared" si="7"/>
        <v>12.800598077097128</v>
      </c>
      <c r="Y49" s="18">
        <f t="shared" si="7"/>
        <v>17.484473052477881</v>
      </c>
      <c r="Z49" s="18">
        <f t="shared" si="7"/>
        <v>17.26726759417808</v>
      </c>
      <c r="AA49" s="18">
        <f t="shared" si="7"/>
        <v>12.639999999999999</v>
      </c>
      <c r="AB49" s="18">
        <f t="shared" si="7"/>
        <v>18.079999999999998</v>
      </c>
      <c r="AC49" s="18">
        <f t="shared" si="7"/>
        <v>15.200000000000001</v>
      </c>
    </row>
    <row r="50" spans="1:30">
      <c r="A50" s="11" t="s">
        <v>17</v>
      </c>
      <c r="D50" s="20"/>
      <c r="F50" s="8"/>
      <c r="G50" s="7">
        <f>+G36</f>
        <v>12</v>
      </c>
      <c r="H50" s="7">
        <f t="shared" ref="H50:AC50" si="8">+H36</f>
        <v>12</v>
      </c>
      <c r="I50" s="7">
        <f t="shared" si="8"/>
        <v>12</v>
      </c>
      <c r="J50" s="7">
        <f t="shared" si="8"/>
        <v>12</v>
      </c>
      <c r="K50" s="7">
        <f t="shared" si="8"/>
        <v>12</v>
      </c>
      <c r="L50" s="7">
        <f t="shared" si="8"/>
        <v>12</v>
      </c>
      <c r="M50" s="7">
        <f t="shared" si="8"/>
        <v>12</v>
      </c>
      <c r="N50" s="7">
        <f t="shared" si="8"/>
        <v>12</v>
      </c>
      <c r="O50" s="7">
        <f t="shared" si="8"/>
        <v>12</v>
      </c>
      <c r="P50" s="7">
        <f t="shared" si="8"/>
        <v>12</v>
      </c>
      <c r="Q50" s="7">
        <f t="shared" si="8"/>
        <v>12</v>
      </c>
      <c r="R50" s="7">
        <f t="shared" si="8"/>
        <v>12</v>
      </c>
      <c r="S50" s="7">
        <f t="shared" si="8"/>
        <v>12</v>
      </c>
      <c r="T50" s="7">
        <f t="shared" si="8"/>
        <v>12</v>
      </c>
      <c r="U50" s="7">
        <f t="shared" si="8"/>
        <v>12</v>
      </c>
      <c r="V50" s="7">
        <f t="shared" si="8"/>
        <v>12</v>
      </c>
      <c r="W50" s="7">
        <f t="shared" si="8"/>
        <v>12</v>
      </c>
      <c r="X50" s="7">
        <f t="shared" si="8"/>
        <v>12</v>
      </c>
      <c r="Y50" s="7">
        <f t="shared" si="8"/>
        <v>12</v>
      </c>
      <c r="Z50" s="7">
        <f t="shared" si="8"/>
        <v>12</v>
      </c>
      <c r="AA50" s="7">
        <f t="shared" si="8"/>
        <v>12</v>
      </c>
      <c r="AB50" s="7">
        <f t="shared" si="8"/>
        <v>12</v>
      </c>
      <c r="AC50" s="7">
        <f t="shared" si="8"/>
        <v>12</v>
      </c>
    </row>
    <row r="51" spans="1:30">
      <c r="A51" s="11" t="s">
        <v>16</v>
      </c>
      <c r="D51" s="20"/>
      <c r="F51" t="s">
        <v>26</v>
      </c>
      <c r="G51" s="15">
        <f>+$F$8</f>
        <v>263000</v>
      </c>
      <c r="H51" s="21">
        <f>+G51</f>
        <v>263000</v>
      </c>
      <c r="I51" s="21">
        <f t="shared" ref="I51:AC51" si="9">+H51</f>
        <v>263000</v>
      </c>
      <c r="J51" s="21">
        <f t="shared" si="9"/>
        <v>263000</v>
      </c>
      <c r="K51" s="21">
        <f t="shared" si="9"/>
        <v>263000</v>
      </c>
      <c r="L51" s="21">
        <f t="shared" si="9"/>
        <v>263000</v>
      </c>
      <c r="M51" s="21">
        <f t="shared" si="9"/>
        <v>263000</v>
      </c>
      <c r="N51" s="21">
        <f t="shared" si="9"/>
        <v>263000</v>
      </c>
      <c r="O51" s="21">
        <f t="shared" si="9"/>
        <v>263000</v>
      </c>
      <c r="P51" s="21">
        <f t="shared" si="9"/>
        <v>263000</v>
      </c>
      <c r="Q51" s="21">
        <f t="shared" si="9"/>
        <v>263000</v>
      </c>
      <c r="R51" s="21">
        <f t="shared" si="9"/>
        <v>263000</v>
      </c>
      <c r="S51" s="21">
        <f t="shared" si="9"/>
        <v>263000</v>
      </c>
      <c r="T51" s="21">
        <f t="shared" si="9"/>
        <v>263000</v>
      </c>
      <c r="U51" s="21">
        <f t="shared" si="9"/>
        <v>263000</v>
      </c>
      <c r="V51" s="21">
        <f t="shared" si="9"/>
        <v>263000</v>
      </c>
      <c r="W51" s="21">
        <f t="shared" si="9"/>
        <v>263000</v>
      </c>
      <c r="X51" s="21">
        <f t="shared" si="9"/>
        <v>263000</v>
      </c>
      <c r="Y51" s="21">
        <f t="shared" si="9"/>
        <v>263000</v>
      </c>
      <c r="Z51" s="21">
        <f t="shared" si="9"/>
        <v>263000</v>
      </c>
      <c r="AA51" s="21">
        <f t="shared" si="9"/>
        <v>263000</v>
      </c>
      <c r="AB51" s="21">
        <f t="shared" si="9"/>
        <v>263000</v>
      </c>
      <c r="AC51" s="21">
        <f t="shared" si="9"/>
        <v>263000</v>
      </c>
    </row>
    <row r="52" spans="1:30" s="6" customFormat="1">
      <c r="A52" s="53" t="s">
        <v>18</v>
      </c>
      <c r="D52" s="58"/>
      <c r="G52" s="53">
        <f t="shared" ref="G52:AC52" si="10">+G51*G50*G49</f>
        <v>40510657.027791098</v>
      </c>
      <c r="H52" s="53">
        <f t="shared" si="10"/>
        <v>41370159.443232737</v>
      </c>
      <c r="I52" s="53">
        <f t="shared" si="10"/>
        <v>37268061.161984168</v>
      </c>
      <c r="J52" s="53">
        <f t="shared" si="10"/>
        <v>40824318.507818922</v>
      </c>
      <c r="K52" s="53">
        <f t="shared" si="10"/>
        <v>38657491.480737023</v>
      </c>
      <c r="L52" s="53">
        <f t="shared" si="10"/>
        <v>32191827.429695349</v>
      </c>
      <c r="M52" s="53">
        <f t="shared" si="10"/>
        <v>44437196.029696777</v>
      </c>
      <c r="N52" s="53">
        <f t="shared" si="10"/>
        <v>46004560.256781533</v>
      </c>
      <c r="O52" s="53">
        <f t="shared" si="10"/>
        <v>39544960.110949628</v>
      </c>
      <c r="P52" s="53">
        <f t="shared" si="10"/>
        <v>44215315.592201062</v>
      </c>
      <c r="Q52" s="53">
        <f t="shared" si="10"/>
        <v>48515149.649926394</v>
      </c>
      <c r="R52" s="53">
        <f t="shared" si="10"/>
        <v>27093941.231848262</v>
      </c>
      <c r="S52" s="53">
        <f t="shared" si="10"/>
        <v>51007109.886762477</v>
      </c>
      <c r="T52" s="53">
        <f t="shared" si="10"/>
        <v>52099960.142475709</v>
      </c>
      <c r="U52" s="53">
        <f t="shared" si="10"/>
        <v>44568036.888273537</v>
      </c>
      <c r="V52" s="53">
        <f t="shared" si="10"/>
        <v>55035016.472792439</v>
      </c>
      <c r="W52" s="53">
        <f t="shared" si="10"/>
        <v>55662441.099332012</v>
      </c>
      <c r="X52" s="53">
        <f t="shared" si="10"/>
        <v>40398687.531318538</v>
      </c>
      <c r="Y52" s="53">
        <f t="shared" si="10"/>
        <v>55180996.953620195</v>
      </c>
      <c r="Z52" s="53">
        <f t="shared" si="10"/>
        <v>54495496.527226016</v>
      </c>
      <c r="AA52" s="53">
        <f t="shared" si="10"/>
        <v>39891839.999999993</v>
      </c>
      <c r="AB52" s="53">
        <f t="shared" si="10"/>
        <v>57060479.999999993</v>
      </c>
      <c r="AC52" s="53">
        <f t="shared" si="10"/>
        <v>47971200</v>
      </c>
    </row>
    <row r="53" spans="1:30" s="6" customFormat="1">
      <c r="A53" s="53" t="s">
        <v>19</v>
      </c>
      <c r="D53" s="58"/>
      <c r="G53" s="53">
        <f t="shared" ref="G53:AC53" si="11">+G52/G50</f>
        <v>3375888.085649258</v>
      </c>
      <c r="H53" s="53">
        <f t="shared" si="11"/>
        <v>3447513.2869360615</v>
      </c>
      <c r="I53" s="53">
        <f t="shared" si="11"/>
        <v>3105671.7634986807</v>
      </c>
      <c r="J53" s="53">
        <f t="shared" si="11"/>
        <v>3402026.5423182435</v>
      </c>
      <c r="K53" s="53">
        <f t="shared" si="11"/>
        <v>3221457.6233947519</v>
      </c>
      <c r="L53" s="53">
        <f t="shared" si="11"/>
        <v>2682652.2858079458</v>
      </c>
      <c r="M53" s="53">
        <f t="shared" si="11"/>
        <v>3703099.6691413983</v>
      </c>
      <c r="N53" s="53">
        <f t="shared" si="11"/>
        <v>3833713.3547317944</v>
      </c>
      <c r="O53" s="53">
        <f t="shared" si="11"/>
        <v>3295413.3425791357</v>
      </c>
      <c r="P53" s="53">
        <f t="shared" si="11"/>
        <v>3684609.632683422</v>
      </c>
      <c r="Q53" s="53">
        <f t="shared" si="11"/>
        <v>4042929.137493866</v>
      </c>
      <c r="R53" s="53">
        <f t="shared" si="11"/>
        <v>2257828.4359873552</v>
      </c>
      <c r="S53" s="53">
        <f t="shared" si="11"/>
        <v>4250592.4905635398</v>
      </c>
      <c r="T53" s="53">
        <f t="shared" si="11"/>
        <v>4341663.3452063091</v>
      </c>
      <c r="U53" s="53">
        <f t="shared" si="11"/>
        <v>3714003.0740227946</v>
      </c>
      <c r="V53" s="53">
        <f t="shared" si="11"/>
        <v>4586251.3727327036</v>
      </c>
      <c r="W53" s="53">
        <f t="shared" si="11"/>
        <v>4638536.7582776677</v>
      </c>
      <c r="X53" s="53">
        <f t="shared" si="11"/>
        <v>3366557.2942765448</v>
      </c>
      <c r="Y53" s="53">
        <f t="shared" si="11"/>
        <v>4598416.4128016829</v>
      </c>
      <c r="Z53" s="53">
        <f t="shared" si="11"/>
        <v>4541291.377268835</v>
      </c>
      <c r="AA53" s="53">
        <f t="shared" si="11"/>
        <v>3324319.9999999995</v>
      </c>
      <c r="AB53" s="53">
        <f t="shared" si="11"/>
        <v>4755039.9999999991</v>
      </c>
      <c r="AC53" s="53">
        <f t="shared" si="11"/>
        <v>3997600</v>
      </c>
    </row>
    <row r="54" spans="1:30" s="6" customFormat="1" ht="13.5" thickBot="1">
      <c r="D54" s="58"/>
    </row>
    <row r="55" spans="1:30" s="6" customFormat="1" ht="13.5" thickBot="1">
      <c r="A55" s="93" t="str">
        <f>CONCATENATE("XNPV",ROUND($F$9*100,2)," at 12/31/00")</f>
        <v>XNPV5 at 12/31/00</v>
      </c>
      <c r="B55" s="94">
        <v>556681335.38658702</v>
      </c>
      <c r="D55" s="58"/>
    </row>
    <row r="56" spans="1:30" s="6" customFormat="1">
      <c r="D56" s="58"/>
    </row>
    <row r="57" spans="1:30">
      <c r="A57" s="232" t="s">
        <v>86</v>
      </c>
      <c r="B57" s="232"/>
      <c r="C57" s="232"/>
      <c r="D57" s="232"/>
      <c r="E57" s="232"/>
      <c r="F57" s="232"/>
    </row>
    <row r="58" spans="1:30" ht="13.5" thickBot="1">
      <c r="A58" s="11" t="s">
        <v>21</v>
      </c>
      <c r="D58" s="20"/>
      <c r="F58" t="s">
        <v>25</v>
      </c>
      <c r="G58" s="18">
        <f>+G31</f>
        <v>13.6</v>
      </c>
      <c r="H58" s="18">
        <f t="shared" ref="H58:AC58" si="12">+H31</f>
        <v>14.04</v>
      </c>
      <c r="I58" s="18">
        <f t="shared" si="12"/>
        <v>14.57</v>
      </c>
      <c r="J58" s="18">
        <f t="shared" si="12"/>
        <v>15.09</v>
      </c>
      <c r="K58" s="18">
        <f t="shared" si="12"/>
        <v>15.65</v>
      </c>
      <c r="L58" s="18">
        <f t="shared" si="12"/>
        <v>16.21</v>
      </c>
      <c r="M58" s="18">
        <f t="shared" si="12"/>
        <v>16.87</v>
      </c>
      <c r="N58" s="18">
        <f t="shared" si="12"/>
        <v>17.54</v>
      </c>
      <c r="O58" s="18">
        <f t="shared" si="12"/>
        <v>18.18</v>
      </c>
      <c r="P58" s="18">
        <f t="shared" si="12"/>
        <v>18.88</v>
      </c>
      <c r="Q58" s="18">
        <f t="shared" si="12"/>
        <v>17.579999999999998</v>
      </c>
      <c r="R58" s="18">
        <f t="shared" si="12"/>
        <v>18.13</v>
      </c>
      <c r="S58" s="18">
        <f t="shared" si="12"/>
        <v>18.87</v>
      </c>
      <c r="T58" s="18">
        <f t="shared" si="12"/>
        <v>19.52</v>
      </c>
      <c r="U58" s="18">
        <f t="shared" si="12"/>
        <v>20.22</v>
      </c>
      <c r="V58" s="18">
        <f t="shared" si="12"/>
        <v>20.99</v>
      </c>
      <c r="W58" s="18">
        <f t="shared" si="12"/>
        <v>21.56</v>
      </c>
      <c r="X58" s="18">
        <f t="shared" si="12"/>
        <v>21.71</v>
      </c>
      <c r="Y58" s="18">
        <f t="shared" si="12"/>
        <v>22.02</v>
      </c>
      <c r="Z58" s="18">
        <f t="shared" si="12"/>
        <v>22.18</v>
      </c>
      <c r="AA58" s="18">
        <f t="shared" si="12"/>
        <v>23.13</v>
      </c>
      <c r="AB58" s="18">
        <f t="shared" si="12"/>
        <v>23.58</v>
      </c>
      <c r="AC58" s="18">
        <f t="shared" si="12"/>
        <v>24.07</v>
      </c>
    </row>
    <row r="59" spans="1:30" ht="13.5" thickBot="1">
      <c r="A59" s="11" t="s">
        <v>13</v>
      </c>
      <c r="C59" s="22">
        <f>+IF($B$16="yes",1,0)</f>
        <v>1</v>
      </c>
      <c r="D59" s="62" t="s">
        <v>87</v>
      </c>
      <c r="F59" t="s">
        <v>25</v>
      </c>
      <c r="G59" s="18">
        <f>IF(+$C$59=1,'Brazos'' i Adjustment'!D44,IF(+'Damage Calculations'!$C$59=0,+'Tenaska''s i Adjustment'!D44,"Error"))</f>
        <v>0.81014391064638824</v>
      </c>
      <c r="H59" s="18">
        <f>IF(+$C$59=1,'Brazos'' i Adjustment'!E44,IF(+'Damage Calculations'!$C$59=0,+'Tenaska''s i Adjustment'!E44,"Error"))</f>
        <v>0.80526245762040594</v>
      </c>
      <c r="I59" s="18">
        <f>IF(+$C$59=1,'Brazos'' i Adjustment'!F44,IF(+'Damage Calculations'!$C$59=0,+'Tenaska''s i Adjustment'!F44,"Error"))</f>
        <v>0.79903217229087486</v>
      </c>
      <c r="J59" s="18">
        <f>IF(+$C$59=1,'Brazos'' i Adjustment'!G44,IF(+'Damage Calculations'!$C$59=0,+'Tenaska''s i Adjustment'!G44,"Error"))</f>
        <v>0.79063663664448713</v>
      </c>
      <c r="K59" s="18">
        <f>IF(+$C$59=1,'Brazos'' i Adjustment'!H44,IF(+'Damage Calculations'!$C$59=0,+'Tenaska''s i Adjustment'!H44,"Error"))</f>
        <v>0.7800758506812423</v>
      </c>
      <c r="L59" s="18">
        <f>IF(+$C$59=1,'Brazos'' i Adjustment'!I44,IF(+'Damage Calculations'!$C$59=0,+'Tenaska''s i Adjustment'!I44,"Error"))</f>
        <v>0.76816697393853006</v>
      </c>
      <c r="M59" s="18">
        <f>IF(+$C$59=1,'Brazos'' i Adjustment'!J44,IF(+'Damage Calculations'!$C$59=0,+'Tenaska''s i Adjustment'!J44,"Error"))</f>
        <v>0.75544093765842868</v>
      </c>
      <c r="N59" s="18">
        <f>IF(+$C$59=1,'Brazos'' i Adjustment'!K44,IF(+'Damage Calculations'!$C$59=0,+'Tenaska''s i Adjustment'!K44,"Error"))</f>
        <v>0.74054965106147053</v>
      </c>
      <c r="O59" s="18">
        <f>IF(+$C$59=1,'Brazos'' i Adjustment'!L44,IF(+'Damage Calculations'!$C$59=0,+'Tenaska''s i Adjustment'!L44,"Error"))</f>
        <v>0.7234931141476556</v>
      </c>
      <c r="P59" s="18">
        <f>IF(+$C$59=1,'Brazos'' i Adjustment'!M44,IF(+'Damage Calculations'!$C$59=0,+'Tenaska''s i Adjustment'!M44,"Error"))</f>
        <v>0.7042713269169838</v>
      </c>
      <c r="Q59" s="18">
        <f>IF(+$C$59=1,'Brazos'' i Adjustment'!N44,IF(+'Damage Calculations'!$C$59=0,+'Tenaska''s i Adjustment'!N44,"Error"))</f>
        <v>0.67396090722116631</v>
      </c>
      <c r="R59" s="18">
        <f>IF(+$C$59=1,'Brazos'' i Adjustment'!O44,IF(+'Damage Calculations'!$C$59=0,+'Tenaska''s i Adjustment'!O44,"Error"))</f>
        <v>0.62460678471799769</v>
      </c>
      <c r="S59" s="18">
        <f>IF(+$C$59=1,'Brazos'' i Adjustment'!P44,IF(+'Damage Calculations'!$C$59=0,+'Tenaska''s i Adjustment'!P44,"Error"))</f>
        <v>0.57175112618187607</v>
      </c>
      <c r="T59" s="18">
        <f>IF(+$C$59=1,'Brazos'' i Adjustment'!Q44,IF(+'Damage Calculations'!$C$59=0,+'Tenaska''s i Adjustment'!Q44,"Error"))</f>
        <v>0.51840315497782019</v>
      </c>
      <c r="U59" s="18">
        <f>IF(+$C$59=1,'Brazos'' i Adjustment'!R44,IF(+'Damage Calculations'!$C$59=0,+'Tenaska''s i Adjustment'!R44,"Error"))</f>
        <v>0.45688762229087471</v>
      </c>
      <c r="V59" s="18">
        <f>IF(+$C$59=1,'Brazos'' i Adjustment'!S44,IF(+'Damage Calculations'!$C$59=0,+'Tenaska''s i Adjustment'!S44,"Error"))</f>
        <v>0.38359318480120513</v>
      </c>
      <c r="W59" s="18">
        <f>IF(+$C$59=1,'Brazos'' i Adjustment'!T44,IF(+'Damage Calculations'!$C$59=0,+'Tenaska''s i Adjustment'!T44,"Error"))</f>
        <v>0.2898410789416116</v>
      </c>
      <c r="X59" s="18">
        <f>IF(+$C$59=1,'Brazos'' i Adjustment'!U44,IF(+'Damage Calculations'!$C$59=0,+'Tenaska''s i Adjustment'!U44,"Error"))</f>
        <v>0.21944802586558335</v>
      </c>
      <c r="Y59" s="18">
        <f>IF(+$C$59=1,'Brazos'' i Adjustment'!V44,IF(+'Damage Calculations'!$C$59=0,+'Tenaska''s i Adjustment'!V44,"Error"))</f>
        <v>0.14197272272149589</v>
      </c>
      <c r="Z59" s="18">
        <f>IF(+$C$59=1,'Brazos'' i Adjustment'!W44,IF(+'Damage Calculations'!$C$59=0,+'Tenaska''s i Adjustment'!W44,"Error"))</f>
        <v>5.6408281681337512E-2</v>
      </c>
      <c r="AA59" s="18">
        <f>IF(+$C$59=1,'Brazos'' i Adjustment'!X44,IF(+'Damage Calculations'!$C$59=0,+'Tenaska''s i Adjustment'!X44,"Error"))</f>
        <v>-7.847705867769452E-17</v>
      </c>
      <c r="AB59" s="18">
        <f>IF(+$C$59=1,'Brazos'' i Adjustment'!Y44,IF(+'Damage Calculations'!$C$59=0,+'Tenaska''s i Adjustment'!Y44,"Error"))</f>
        <v>-7.847705867769452E-17</v>
      </c>
      <c r="AC59" s="18">
        <f>IF(+$C$59=1,'Brazos'' i Adjustment'!Z44,IF(+'Damage Calculations'!$C$59=0,+'Tenaska''s i Adjustment'!Z44,"Error"))</f>
        <v>-7.847705867769452E-17</v>
      </c>
      <c r="AD59" s="18"/>
    </row>
    <row r="60" spans="1:30" s="11" customFormat="1" ht="13.5" thickBot="1">
      <c r="A60" s="11" t="s">
        <v>20</v>
      </c>
      <c r="C60" s="22">
        <f>+IF($B$17="yes",1,0)</f>
        <v>1</v>
      </c>
      <c r="D60" s="62" t="s">
        <v>61</v>
      </c>
      <c r="F60" t="s">
        <v>25</v>
      </c>
      <c r="G60" s="16">
        <f>+'Damage Calculations'!G$85*'Damage Calculations'!$C$60</f>
        <v>0</v>
      </c>
      <c r="H60" s="16">
        <f>+'Damage Calculations'!H$85*'Damage Calculations'!$C$60</f>
        <v>0</v>
      </c>
      <c r="I60" s="16">
        <f>+'Damage Calculations'!I$85*'Damage Calculations'!$C$60</f>
        <v>0</v>
      </c>
      <c r="J60" s="16">
        <f>+'Damage Calculations'!J$85*'Damage Calculations'!$C$60</f>
        <v>-1.08</v>
      </c>
      <c r="K60" s="16">
        <f>+'Damage Calculations'!K$85*'Damage Calculations'!$C$60</f>
        <v>-1.1299999999999999</v>
      </c>
      <c r="L60" s="16">
        <f>+'Damage Calculations'!L$85*'Damage Calculations'!$C$60</f>
        <v>-1.19</v>
      </c>
      <c r="M60" s="16">
        <f>+'Damage Calculations'!M$85*'Damage Calculations'!$C$60</f>
        <v>-1.25</v>
      </c>
      <c r="N60" s="16">
        <f>+'Damage Calculations'!N$85*'Damage Calculations'!$C$60</f>
        <v>-1.31</v>
      </c>
      <c r="O60" s="16">
        <f>+'Damage Calculations'!O$85*'Damage Calculations'!$C$60</f>
        <v>-1.38</v>
      </c>
      <c r="P60" s="16">
        <f>+'Damage Calculations'!P$85*'Damage Calculations'!$C$60</f>
        <v>-1.45</v>
      </c>
      <c r="Q60" s="16">
        <f>+'Damage Calculations'!Q$85*'Damage Calculations'!$C$60</f>
        <v>0</v>
      </c>
      <c r="R60" s="16">
        <f>+'Damage Calculations'!R$85*'Damage Calculations'!$C$60</f>
        <v>0</v>
      </c>
      <c r="S60" s="16">
        <f>+'Damage Calculations'!S$85*'Damage Calculations'!$C$60</f>
        <v>0</v>
      </c>
      <c r="T60" s="16">
        <f>+'Damage Calculations'!T$85*'Damage Calculations'!$C$60</f>
        <v>0</v>
      </c>
      <c r="U60" s="16">
        <f>+'Damage Calculations'!U$85*'Damage Calculations'!$C$60</f>
        <v>0</v>
      </c>
      <c r="V60" s="16">
        <f>+'Damage Calculations'!V$85*'Damage Calculations'!$C$60</f>
        <v>0</v>
      </c>
      <c r="W60" s="16">
        <f>+'Damage Calculations'!W$85*'Damage Calculations'!$C$60</f>
        <v>0</v>
      </c>
      <c r="X60" s="16">
        <f>+'Damage Calculations'!X$85*'Damage Calculations'!$C$60</f>
        <v>0</v>
      </c>
      <c r="Y60" s="16">
        <f>+'Damage Calculations'!Y$85*'Damage Calculations'!$C$60</f>
        <v>0</v>
      </c>
      <c r="Z60" s="16">
        <f>+'Damage Calculations'!Z$85*'Damage Calculations'!$C$60</f>
        <v>0</v>
      </c>
      <c r="AA60" s="16">
        <f>+'Damage Calculations'!AA$85*'Damage Calculations'!$C$60</f>
        <v>0</v>
      </c>
      <c r="AB60" s="16">
        <f>+'Damage Calculations'!AB$85*'Damage Calculations'!$C$60</f>
        <v>0</v>
      </c>
      <c r="AC60" s="16">
        <f>+'Damage Calculations'!AC$85*'Damage Calculations'!$C$60</f>
        <v>0</v>
      </c>
    </row>
    <row r="61" spans="1:30">
      <c r="A61" s="11" t="s">
        <v>27</v>
      </c>
      <c r="D61" s="20"/>
      <c r="F61" t="s">
        <v>25</v>
      </c>
      <c r="G61" s="19">
        <f>+G34</f>
        <v>-1.96</v>
      </c>
      <c r="H61" s="19">
        <f t="shared" ref="H61:AC61" si="13">+H34</f>
        <v>-2.12</v>
      </c>
      <c r="I61" s="19">
        <f t="shared" si="13"/>
        <v>-3.94</v>
      </c>
      <c r="J61" s="19">
        <f t="shared" si="13"/>
        <v>-2.2400000000000002</v>
      </c>
      <c r="K61" s="19">
        <f t="shared" si="13"/>
        <v>-3.42</v>
      </c>
      <c r="L61" s="19">
        <f t="shared" si="13"/>
        <v>-5.95</v>
      </c>
      <c r="M61" s="19">
        <f t="shared" si="13"/>
        <v>-2.65</v>
      </c>
      <c r="N61" s="19">
        <f t="shared" si="13"/>
        <v>-2.74</v>
      </c>
      <c r="O61" s="19">
        <f t="shared" si="13"/>
        <v>-5.33</v>
      </c>
      <c r="P61" s="19">
        <f t="shared" si="13"/>
        <v>-4.45</v>
      </c>
      <c r="Q61" s="19">
        <f t="shared" si="13"/>
        <v>-3.19</v>
      </c>
      <c r="R61" s="19">
        <f t="shared" si="13"/>
        <v>-10.45</v>
      </c>
      <c r="S61" s="19">
        <f t="shared" si="13"/>
        <v>-3.53</v>
      </c>
      <c r="T61" s="19">
        <f t="shared" si="13"/>
        <v>-3.75</v>
      </c>
      <c r="U61" s="19">
        <f t="shared" si="13"/>
        <v>-6.74</v>
      </c>
      <c r="V61" s="19">
        <f t="shared" si="13"/>
        <v>-4.08</v>
      </c>
      <c r="W61" s="19">
        <f t="shared" si="13"/>
        <v>-4.32</v>
      </c>
      <c r="X61" s="19">
        <f t="shared" si="13"/>
        <v>-9.2100000000000009</v>
      </c>
      <c r="Y61" s="19">
        <f t="shared" si="13"/>
        <v>-4.7300000000000004</v>
      </c>
      <c r="Z61" s="19">
        <f t="shared" si="13"/>
        <v>-4.99</v>
      </c>
      <c r="AA61" s="19">
        <f t="shared" si="13"/>
        <v>-10.49</v>
      </c>
      <c r="AB61" s="19">
        <f t="shared" si="13"/>
        <v>-5.5</v>
      </c>
      <c r="AC61" s="19">
        <f t="shared" si="13"/>
        <v>-8.8699999999999992</v>
      </c>
    </row>
    <row r="62" spans="1:30">
      <c r="A62" s="11" t="s">
        <v>23</v>
      </c>
      <c r="D62" s="20"/>
      <c r="F62" t="s">
        <v>25</v>
      </c>
      <c r="G62" s="18">
        <f t="shared" ref="G62:AC62" si="14">SUM(G58:G61)</f>
        <v>12.450143910646389</v>
      </c>
      <c r="H62" s="18">
        <f t="shared" si="14"/>
        <v>12.725262457620406</v>
      </c>
      <c r="I62" s="18">
        <f t="shared" si="14"/>
        <v>11.429032172290876</v>
      </c>
      <c r="J62" s="18">
        <f t="shared" si="14"/>
        <v>12.560636636644487</v>
      </c>
      <c r="K62" s="18">
        <f t="shared" si="14"/>
        <v>11.880075850681242</v>
      </c>
      <c r="L62" s="18">
        <f t="shared" si="14"/>
        <v>9.8381669739385309</v>
      </c>
      <c r="M62" s="18">
        <f t="shared" si="14"/>
        <v>13.725440937658428</v>
      </c>
      <c r="N62" s="18">
        <f t="shared" si="14"/>
        <v>14.230549651061471</v>
      </c>
      <c r="O62" s="18">
        <f t="shared" si="14"/>
        <v>12.193493114147655</v>
      </c>
      <c r="P62" s="18">
        <f t="shared" si="14"/>
        <v>13.684271326916985</v>
      </c>
      <c r="Q62" s="18">
        <f t="shared" si="14"/>
        <v>15.063960907221164</v>
      </c>
      <c r="R62" s="18">
        <f t="shared" si="14"/>
        <v>8.304606784717997</v>
      </c>
      <c r="S62" s="18">
        <f t="shared" si="14"/>
        <v>15.911751126181878</v>
      </c>
      <c r="T62" s="18">
        <f t="shared" si="14"/>
        <v>16.288403154977821</v>
      </c>
      <c r="U62" s="18">
        <f t="shared" si="14"/>
        <v>13.936887622290874</v>
      </c>
      <c r="V62" s="18">
        <f t="shared" si="14"/>
        <v>17.293593184801203</v>
      </c>
      <c r="W62" s="18">
        <f t="shared" si="14"/>
        <v>17.529841078941612</v>
      </c>
      <c r="X62" s="18">
        <f t="shared" si="14"/>
        <v>12.719448025865585</v>
      </c>
      <c r="Y62" s="18">
        <f t="shared" si="14"/>
        <v>17.431972722721493</v>
      </c>
      <c r="Z62" s="18">
        <f t="shared" si="14"/>
        <v>17.24640828168134</v>
      </c>
      <c r="AA62" s="18">
        <f t="shared" si="14"/>
        <v>12.639999999999999</v>
      </c>
      <c r="AB62" s="18">
        <f t="shared" si="14"/>
        <v>18.079999999999998</v>
      </c>
      <c r="AC62" s="18">
        <f t="shared" si="14"/>
        <v>15.200000000000001</v>
      </c>
    </row>
    <row r="63" spans="1:30">
      <c r="A63" s="11" t="s">
        <v>17</v>
      </c>
      <c r="D63" s="20"/>
      <c r="F63" s="8"/>
      <c r="G63" s="7">
        <f>+G36</f>
        <v>12</v>
      </c>
      <c r="H63" s="7">
        <f t="shared" ref="H63:AC63" si="15">+H36</f>
        <v>12</v>
      </c>
      <c r="I63" s="7">
        <f t="shared" si="15"/>
        <v>12</v>
      </c>
      <c r="J63" s="7">
        <f t="shared" si="15"/>
        <v>12</v>
      </c>
      <c r="K63" s="7">
        <f t="shared" si="15"/>
        <v>12</v>
      </c>
      <c r="L63" s="7">
        <f t="shared" si="15"/>
        <v>12</v>
      </c>
      <c r="M63" s="7">
        <f t="shared" si="15"/>
        <v>12</v>
      </c>
      <c r="N63" s="7">
        <f t="shared" si="15"/>
        <v>12</v>
      </c>
      <c r="O63" s="7">
        <f t="shared" si="15"/>
        <v>12</v>
      </c>
      <c r="P63" s="7">
        <f t="shared" si="15"/>
        <v>12</v>
      </c>
      <c r="Q63" s="7">
        <f t="shared" si="15"/>
        <v>12</v>
      </c>
      <c r="R63" s="7">
        <f t="shared" si="15"/>
        <v>12</v>
      </c>
      <c r="S63" s="7">
        <f t="shared" si="15"/>
        <v>12</v>
      </c>
      <c r="T63" s="7">
        <f t="shared" si="15"/>
        <v>12</v>
      </c>
      <c r="U63" s="7">
        <f t="shared" si="15"/>
        <v>12</v>
      </c>
      <c r="V63" s="7">
        <f t="shared" si="15"/>
        <v>12</v>
      </c>
      <c r="W63" s="7">
        <f t="shared" si="15"/>
        <v>12</v>
      </c>
      <c r="X63" s="7">
        <f t="shared" si="15"/>
        <v>12</v>
      </c>
      <c r="Y63" s="7">
        <f t="shared" si="15"/>
        <v>12</v>
      </c>
      <c r="Z63" s="7">
        <f t="shared" si="15"/>
        <v>12</v>
      </c>
      <c r="AA63" s="7">
        <f t="shared" si="15"/>
        <v>12</v>
      </c>
      <c r="AB63" s="7">
        <f t="shared" si="15"/>
        <v>12</v>
      </c>
      <c r="AC63" s="7">
        <f t="shared" si="15"/>
        <v>12</v>
      </c>
    </row>
    <row r="64" spans="1:30">
      <c r="A64" s="11" t="s">
        <v>16</v>
      </c>
      <c r="D64" s="20"/>
      <c r="F64" t="s">
        <v>26</v>
      </c>
      <c r="G64" s="15">
        <f>+$F$8</f>
        <v>263000</v>
      </c>
      <c r="H64" s="21">
        <f>+G64</f>
        <v>263000</v>
      </c>
      <c r="I64" s="21">
        <f t="shared" ref="I64:AC64" si="16">+H64</f>
        <v>263000</v>
      </c>
      <c r="J64" s="21">
        <f t="shared" si="16"/>
        <v>263000</v>
      </c>
      <c r="K64" s="21">
        <f t="shared" si="16"/>
        <v>263000</v>
      </c>
      <c r="L64" s="21">
        <f t="shared" si="16"/>
        <v>263000</v>
      </c>
      <c r="M64" s="21">
        <f t="shared" si="16"/>
        <v>263000</v>
      </c>
      <c r="N64" s="21">
        <f t="shared" si="16"/>
        <v>263000</v>
      </c>
      <c r="O64" s="21">
        <f t="shared" si="16"/>
        <v>263000</v>
      </c>
      <c r="P64" s="21">
        <f t="shared" si="16"/>
        <v>263000</v>
      </c>
      <c r="Q64" s="21">
        <f t="shared" si="16"/>
        <v>263000</v>
      </c>
      <c r="R64" s="21">
        <f t="shared" si="16"/>
        <v>263000</v>
      </c>
      <c r="S64" s="21">
        <f t="shared" si="16"/>
        <v>263000</v>
      </c>
      <c r="T64" s="21">
        <f t="shared" si="16"/>
        <v>263000</v>
      </c>
      <c r="U64" s="21">
        <f t="shared" si="16"/>
        <v>263000</v>
      </c>
      <c r="V64" s="21">
        <f t="shared" si="16"/>
        <v>263000</v>
      </c>
      <c r="W64" s="21">
        <f t="shared" si="16"/>
        <v>263000</v>
      </c>
      <c r="X64" s="21">
        <f t="shared" si="16"/>
        <v>263000</v>
      </c>
      <c r="Y64" s="21">
        <f t="shared" si="16"/>
        <v>263000</v>
      </c>
      <c r="Z64" s="21">
        <f t="shared" si="16"/>
        <v>263000</v>
      </c>
      <c r="AA64" s="21">
        <f t="shared" si="16"/>
        <v>263000</v>
      </c>
      <c r="AB64" s="21">
        <f t="shared" si="16"/>
        <v>263000</v>
      </c>
      <c r="AC64" s="21">
        <f t="shared" si="16"/>
        <v>263000</v>
      </c>
    </row>
    <row r="65" spans="1:57" s="6" customFormat="1">
      <c r="A65" s="53" t="s">
        <v>18</v>
      </c>
      <c r="D65" s="58"/>
      <c r="G65" s="124">
        <f t="shared" ref="G65:AC65" si="17">+G64*G63*G62</f>
        <v>39292654.182000004</v>
      </c>
      <c r="H65" s="124">
        <f t="shared" si="17"/>
        <v>40160928.316250004</v>
      </c>
      <c r="I65" s="124">
        <f t="shared" si="17"/>
        <v>36070025.535750002</v>
      </c>
      <c r="J65" s="124">
        <f t="shared" si="17"/>
        <v>39641369.225249998</v>
      </c>
      <c r="K65" s="124">
        <f t="shared" si="17"/>
        <v>37493519.384750001</v>
      </c>
      <c r="L65" s="124">
        <f t="shared" si="17"/>
        <v>31049254.969750002</v>
      </c>
      <c r="M65" s="124">
        <f t="shared" si="17"/>
        <v>43317491.599249996</v>
      </c>
      <c r="N65" s="124">
        <f t="shared" si="17"/>
        <v>44911614.698750004</v>
      </c>
      <c r="O65" s="124">
        <f t="shared" si="17"/>
        <v>38482664.268249996</v>
      </c>
      <c r="P65" s="124">
        <f t="shared" si="17"/>
        <v>43187560.307750002</v>
      </c>
      <c r="Q65" s="124">
        <f t="shared" si="17"/>
        <v>47541860.623189993</v>
      </c>
      <c r="R65" s="124">
        <f t="shared" si="17"/>
        <v>26209339.012569997</v>
      </c>
      <c r="S65" s="124">
        <f t="shared" si="17"/>
        <v>50217486.554230005</v>
      </c>
      <c r="T65" s="124">
        <f t="shared" si="17"/>
        <v>51406200.357110001</v>
      </c>
      <c r="U65" s="124">
        <f t="shared" si="17"/>
        <v>43984817.335949995</v>
      </c>
      <c r="V65" s="124">
        <f t="shared" si="17"/>
        <v>54578580.091232598</v>
      </c>
      <c r="W65" s="124">
        <f t="shared" si="17"/>
        <v>55324178.445139728</v>
      </c>
      <c r="X65" s="124">
        <f t="shared" si="17"/>
        <v>40142577.969631784</v>
      </c>
      <c r="Y65" s="124">
        <f t="shared" si="17"/>
        <v>55015305.912909031</v>
      </c>
      <c r="Z65" s="124">
        <f t="shared" si="17"/>
        <v>54429664.536986306</v>
      </c>
      <c r="AA65" s="124">
        <f t="shared" si="17"/>
        <v>39891839.999999993</v>
      </c>
      <c r="AB65" s="124">
        <f t="shared" si="17"/>
        <v>57060479.999999993</v>
      </c>
      <c r="AC65" s="124">
        <f t="shared" si="17"/>
        <v>47971200</v>
      </c>
    </row>
    <row r="66" spans="1:57" s="6" customFormat="1">
      <c r="A66" s="53" t="s">
        <v>19</v>
      </c>
      <c r="D66" s="58"/>
      <c r="G66" s="53">
        <f t="shared" ref="G66:AC66" si="18">+G65/G63</f>
        <v>3274387.8485000003</v>
      </c>
      <c r="H66" s="53">
        <f t="shared" si="18"/>
        <v>3346744.0263541671</v>
      </c>
      <c r="I66" s="53">
        <f t="shared" si="18"/>
        <v>3005835.4613125003</v>
      </c>
      <c r="J66" s="53">
        <f t="shared" si="18"/>
        <v>3303447.4354375</v>
      </c>
      <c r="K66" s="53">
        <f t="shared" si="18"/>
        <v>3124459.9487291668</v>
      </c>
      <c r="L66" s="53">
        <f t="shared" si="18"/>
        <v>2587437.9141458333</v>
      </c>
      <c r="M66" s="53">
        <f t="shared" si="18"/>
        <v>3609790.9666041662</v>
      </c>
      <c r="N66" s="53">
        <f t="shared" si="18"/>
        <v>3742634.558229167</v>
      </c>
      <c r="O66" s="53">
        <f t="shared" si="18"/>
        <v>3206888.689020833</v>
      </c>
      <c r="P66" s="53">
        <f t="shared" si="18"/>
        <v>3598963.358979167</v>
      </c>
      <c r="Q66" s="53">
        <f t="shared" si="18"/>
        <v>3961821.7185991663</v>
      </c>
      <c r="R66" s="53">
        <f t="shared" si="18"/>
        <v>2184111.584380833</v>
      </c>
      <c r="S66" s="53">
        <f t="shared" si="18"/>
        <v>4184790.5461858339</v>
      </c>
      <c r="T66" s="53">
        <f t="shared" si="18"/>
        <v>4283850.0297591668</v>
      </c>
      <c r="U66" s="53">
        <f t="shared" si="18"/>
        <v>3665401.4446624997</v>
      </c>
      <c r="V66" s="53">
        <f t="shared" si="18"/>
        <v>4548215.0076027168</v>
      </c>
      <c r="W66" s="53">
        <f t="shared" si="18"/>
        <v>4610348.2037616437</v>
      </c>
      <c r="X66" s="53">
        <f t="shared" si="18"/>
        <v>3345214.8308026488</v>
      </c>
      <c r="Y66" s="53">
        <f t="shared" si="18"/>
        <v>4584608.8260757523</v>
      </c>
      <c r="Z66" s="53">
        <f t="shared" si="18"/>
        <v>4535805.3780821925</v>
      </c>
      <c r="AA66" s="53">
        <f t="shared" si="18"/>
        <v>3324319.9999999995</v>
      </c>
      <c r="AB66" s="53">
        <f t="shared" si="18"/>
        <v>4755039.9999999991</v>
      </c>
      <c r="AC66" s="53">
        <f t="shared" si="18"/>
        <v>3997600</v>
      </c>
    </row>
    <row r="67" spans="1:57" s="6" customFormat="1" ht="13.5" thickBot="1">
      <c r="D67" s="58"/>
    </row>
    <row r="68" spans="1:57" s="6" customFormat="1" ht="13.5" thickBot="1">
      <c r="A68" s="93" t="str">
        <f>CONCATENATE("XNPV",ROUND($F$9*100,2)," at 12/31/00")</f>
        <v>XNPV5 at 12/31/00</v>
      </c>
      <c r="B68" s="94">
        <v>547593319.99480426</v>
      </c>
      <c r="D68" s="58"/>
    </row>
    <row r="69" spans="1:57">
      <c r="A69" s="11"/>
      <c r="D69" s="20"/>
    </row>
    <row r="70" spans="1:57">
      <c r="A70" s="232" t="s">
        <v>85</v>
      </c>
      <c r="B70" s="232"/>
      <c r="C70" s="232"/>
      <c r="D70" s="232"/>
      <c r="E70" s="232"/>
      <c r="F70" s="232"/>
    </row>
    <row r="71" spans="1:57" ht="13.5" thickBot="1">
      <c r="A71" s="11" t="s">
        <v>21</v>
      </c>
      <c r="D71" s="20"/>
      <c r="F71" t="s">
        <v>25</v>
      </c>
      <c r="G71" s="16">
        <v>13.6</v>
      </c>
      <c r="H71" s="16">
        <v>14.04</v>
      </c>
      <c r="I71" s="16">
        <v>14.57</v>
      </c>
      <c r="J71" s="16">
        <v>15.09</v>
      </c>
      <c r="K71" s="16">
        <v>15.65</v>
      </c>
      <c r="L71" s="16">
        <v>16.21</v>
      </c>
      <c r="M71" s="16">
        <v>16.87</v>
      </c>
      <c r="N71" s="16">
        <v>17.54</v>
      </c>
      <c r="O71" s="16">
        <v>18.18</v>
      </c>
      <c r="P71" s="16">
        <v>18.88</v>
      </c>
      <c r="Q71" s="16">
        <v>17.579999999999998</v>
      </c>
      <c r="R71" s="16">
        <v>18.13</v>
      </c>
      <c r="S71" s="16">
        <v>18.87</v>
      </c>
      <c r="T71" s="16">
        <v>19.52</v>
      </c>
      <c r="U71" s="16">
        <v>20.22</v>
      </c>
      <c r="V71" s="16">
        <v>20.99</v>
      </c>
      <c r="W71" s="16">
        <v>21.56</v>
      </c>
      <c r="X71" s="16">
        <v>21.71</v>
      </c>
      <c r="Y71" s="16">
        <v>22.02</v>
      </c>
      <c r="Z71" s="16">
        <v>22.18</v>
      </c>
      <c r="AA71" s="16">
        <v>23.13</v>
      </c>
      <c r="AB71" s="16">
        <v>23.58</v>
      </c>
      <c r="AC71" s="16">
        <v>24.07</v>
      </c>
      <c r="AD71" s="11"/>
      <c r="AE71" s="11"/>
      <c r="AF71" s="11"/>
      <c r="AG71" s="11"/>
      <c r="AH71" s="11"/>
      <c r="AI71" s="11"/>
      <c r="AJ71" s="11"/>
      <c r="AK71" s="11"/>
      <c r="AL71" s="11"/>
      <c r="AM71" s="11"/>
      <c r="AN71" s="11"/>
      <c r="AO71" s="11"/>
      <c r="AP71" s="11"/>
      <c r="AQ71" s="11"/>
      <c r="AR71" s="11"/>
      <c r="AS71" s="11"/>
      <c r="AT71" s="11"/>
      <c r="AU71" s="11"/>
      <c r="AV71" s="11"/>
      <c r="AW71" s="11"/>
      <c r="AX71" s="11"/>
      <c r="AY71" s="11"/>
      <c r="AZ71" s="11"/>
      <c r="BA71" s="11"/>
      <c r="BB71" s="11"/>
      <c r="BC71" s="11"/>
      <c r="BD71" s="11"/>
      <c r="BE71" s="11"/>
    </row>
    <row r="72" spans="1:57" ht="13.5" thickBot="1">
      <c r="A72" s="11" t="s">
        <v>13</v>
      </c>
      <c r="C72" s="22">
        <f>+IF($B$24="yes",1,0)</f>
        <v>0</v>
      </c>
      <c r="D72" s="62" t="s">
        <v>61</v>
      </c>
      <c r="F72" t="s">
        <v>25</v>
      </c>
      <c r="G72" s="18">
        <f>+'Tenaska''s i Adjustment'!D$44*$C$72</f>
        <v>0</v>
      </c>
      <c r="H72" s="18">
        <f>+'Tenaska''s i Adjustment'!E$44*$C$72</f>
        <v>0</v>
      </c>
      <c r="I72" s="18">
        <f>+'Tenaska''s i Adjustment'!F$44*$C$72</f>
        <v>0</v>
      </c>
      <c r="J72" s="18">
        <f>+'Tenaska''s i Adjustment'!G$44*$C$72</f>
        <v>0</v>
      </c>
      <c r="K72" s="18">
        <f>+'Tenaska''s i Adjustment'!H$44*$C$72</f>
        <v>0</v>
      </c>
      <c r="L72" s="18">
        <f>+'Tenaska''s i Adjustment'!I$44*$C$72</f>
        <v>0</v>
      </c>
      <c r="M72" s="18">
        <f>+'Tenaska''s i Adjustment'!J$44*$C$72</f>
        <v>0</v>
      </c>
      <c r="N72" s="18">
        <f>+'Tenaska''s i Adjustment'!K$44*$C$72</f>
        <v>0</v>
      </c>
      <c r="O72" s="18">
        <f>+'Tenaska''s i Adjustment'!L$44*$C$72</f>
        <v>0</v>
      </c>
      <c r="P72" s="18">
        <f>+'Tenaska''s i Adjustment'!M$44*$C$72</f>
        <v>0</v>
      </c>
      <c r="Q72" s="18">
        <f>+'Tenaska''s i Adjustment'!N$44*$C$72</f>
        <v>0</v>
      </c>
      <c r="R72" s="18">
        <f>+'Tenaska''s i Adjustment'!O$44*$C$72</f>
        <v>0</v>
      </c>
      <c r="S72" s="18">
        <f>+'Tenaska''s i Adjustment'!P$44*$C$72</f>
        <v>0</v>
      </c>
      <c r="T72" s="18">
        <f>+'Tenaska''s i Adjustment'!Q$44*$C$72</f>
        <v>0</v>
      </c>
      <c r="U72" s="18">
        <f>+'Tenaska''s i Adjustment'!R$44*$C$72</f>
        <v>0</v>
      </c>
      <c r="V72" s="18">
        <f>+'Tenaska''s i Adjustment'!S$44*$C$72</f>
        <v>0</v>
      </c>
      <c r="W72" s="18">
        <f>+'Tenaska''s i Adjustment'!T$44*$C$72</f>
        <v>0</v>
      </c>
      <c r="X72" s="18">
        <f>+'Tenaska''s i Adjustment'!U$44*$C$72</f>
        <v>0</v>
      </c>
      <c r="Y72" s="18">
        <f>+'Tenaska''s i Adjustment'!V$44*$C$72</f>
        <v>0</v>
      </c>
      <c r="Z72" s="18">
        <f>+'Tenaska''s i Adjustment'!W$44*$C$72</f>
        <v>0</v>
      </c>
      <c r="AA72" s="18">
        <f>+'Tenaska''s i Adjustment'!X$44*$C$72</f>
        <v>0</v>
      </c>
      <c r="AB72" s="18">
        <f>+'Tenaska''s i Adjustment'!Y$44*$C$72</f>
        <v>0</v>
      </c>
      <c r="AC72" s="18">
        <f>+'Tenaska''s i Adjustment'!Z$44*$C$72</f>
        <v>0</v>
      </c>
    </row>
    <row r="73" spans="1:57" ht="13.5" thickBot="1">
      <c r="A73" s="11" t="s">
        <v>20</v>
      </c>
      <c r="C73" s="22">
        <f>+IF($B$25="yes",1,0)</f>
        <v>1</v>
      </c>
      <c r="D73" s="62" t="s">
        <v>61</v>
      </c>
      <c r="F73" t="s">
        <v>25</v>
      </c>
      <c r="G73" s="18">
        <f>+'Damage Calculations'!G85*$C$73</f>
        <v>0</v>
      </c>
      <c r="H73" s="18">
        <f>+'Damage Calculations'!H85*$C$73</f>
        <v>0</v>
      </c>
      <c r="I73" s="18">
        <f>+'Damage Calculations'!I85*$C$73</f>
        <v>0</v>
      </c>
      <c r="J73" s="18">
        <f>+'Damage Calculations'!J85*$C$73</f>
        <v>-1.08</v>
      </c>
      <c r="K73" s="18">
        <f>+'Damage Calculations'!K85*$C$73</f>
        <v>-1.1299999999999999</v>
      </c>
      <c r="L73" s="18">
        <f>+'Damage Calculations'!L85*$C$73</f>
        <v>-1.19</v>
      </c>
      <c r="M73" s="18">
        <f>+'Damage Calculations'!M85*$C$73</f>
        <v>-1.25</v>
      </c>
      <c r="N73" s="18">
        <f>+'Damage Calculations'!N85*$C$73</f>
        <v>-1.31</v>
      </c>
      <c r="O73" s="18">
        <f>+'Damage Calculations'!O85*$C$73</f>
        <v>-1.38</v>
      </c>
      <c r="P73" s="18">
        <f>+'Damage Calculations'!P85*$C$73</f>
        <v>-1.45</v>
      </c>
      <c r="Q73" s="18">
        <f>+'Damage Calculations'!Q85*$C$73</f>
        <v>0</v>
      </c>
      <c r="R73" s="18">
        <f>+'Damage Calculations'!R85*$C$73</f>
        <v>0</v>
      </c>
      <c r="S73" s="18">
        <f>+'Damage Calculations'!S85*$C$73</f>
        <v>0</v>
      </c>
      <c r="T73" s="18">
        <f>+'Damage Calculations'!T85*$C$73</f>
        <v>0</v>
      </c>
      <c r="U73" s="18">
        <f>+'Damage Calculations'!U85*$C$73</f>
        <v>0</v>
      </c>
      <c r="V73" s="18">
        <f>+'Damage Calculations'!V85*$C$73</f>
        <v>0</v>
      </c>
      <c r="W73" s="18">
        <f>+'Damage Calculations'!W85*$C$73</f>
        <v>0</v>
      </c>
      <c r="X73" s="18">
        <f>+'Damage Calculations'!X85*$C$73</f>
        <v>0</v>
      </c>
      <c r="Y73" s="18">
        <f>+'Damage Calculations'!Y85*$C$73</f>
        <v>0</v>
      </c>
      <c r="Z73" s="18">
        <f>+'Damage Calculations'!Z85*$C$73</f>
        <v>0</v>
      </c>
      <c r="AA73" s="18">
        <f>+'Damage Calculations'!AA85*$C$73</f>
        <v>0</v>
      </c>
      <c r="AB73" s="18">
        <f>+'Damage Calculations'!AB85*$C$73</f>
        <v>0</v>
      </c>
      <c r="AC73" s="18">
        <f>+'Damage Calculations'!AC85*$C$73</f>
        <v>0</v>
      </c>
    </row>
    <row r="74" spans="1:57">
      <c r="A74" s="11" t="s">
        <v>27</v>
      </c>
      <c r="F74" t="s">
        <v>25</v>
      </c>
      <c r="G74" s="19">
        <f>+G48</f>
        <v>-1.96</v>
      </c>
      <c r="H74" s="19">
        <f t="shared" ref="H74:AC74" si="19">+H48</f>
        <v>-2.12</v>
      </c>
      <c r="I74" s="19">
        <f t="shared" si="19"/>
        <v>-3.94</v>
      </c>
      <c r="J74" s="19">
        <f t="shared" si="19"/>
        <v>-2.2400000000000002</v>
      </c>
      <c r="K74" s="19">
        <f t="shared" si="19"/>
        <v>-3.42</v>
      </c>
      <c r="L74" s="19">
        <f t="shared" si="19"/>
        <v>-5.95</v>
      </c>
      <c r="M74" s="19">
        <f t="shared" si="19"/>
        <v>-2.65</v>
      </c>
      <c r="N74" s="19">
        <f t="shared" si="19"/>
        <v>-2.74</v>
      </c>
      <c r="O74" s="19">
        <f t="shared" si="19"/>
        <v>-5.33</v>
      </c>
      <c r="P74" s="19">
        <f t="shared" si="19"/>
        <v>-4.45</v>
      </c>
      <c r="Q74" s="19">
        <f t="shared" si="19"/>
        <v>-3.19</v>
      </c>
      <c r="R74" s="19">
        <f t="shared" si="19"/>
        <v>-10.45</v>
      </c>
      <c r="S74" s="19">
        <f t="shared" si="19"/>
        <v>-3.53</v>
      </c>
      <c r="T74" s="19">
        <f t="shared" si="19"/>
        <v>-3.75</v>
      </c>
      <c r="U74" s="19">
        <f t="shared" si="19"/>
        <v>-6.74</v>
      </c>
      <c r="V74" s="19">
        <f t="shared" si="19"/>
        <v>-4.08</v>
      </c>
      <c r="W74" s="19">
        <f t="shared" si="19"/>
        <v>-4.32</v>
      </c>
      <c r="X74" s="19">
        <f t="shared" si="19"/>
        <v>-9.2100000000000009</v>
      </c>
      <c r="Y74" s="19">
        <f t="shared" si="19"/>
        <v>-4.7300000000000004</v>
      </c>
      <c r="Z74" s="19">
        <f t="shared" si="19"/>
        <v>-4.99</v>
      </c>
      <c r="AA74" s="19">
        <f t="shared" si="19"/>
        <v>-10.49</v>
      </c>
      <c r="AB74" s="19">
        <f t="shared" si="19"/>
        <v>-5.5</v>
      </c>
      <c r="AC74" s="19">
        <f t="shared" si="19"/>
        <v>-8.8699999999999992</v>
      </c>
    </row>
    <row r="75" spans="1:57" s="10" customFormat="1">
      <c r="A75" s="11" t="s">
        <v>23</v>
      </c>
      <c r="F75" t="s">
        <v>25</v>
      </c>
      <c r="G75" s="18">
        <f t="shared" ref="G75:AC75" si="20">SUM(G71:G74)</f>
        <v>11.64</v>
      </c>
      <c r="H75" s="18">
        <f t="shared" si="20"/>
        <v>11.919999999999998</v>
      </c>
      <c r="I75" s="18">
        <f t="shared" si="20"/>
        <v>10.63</v>
      </c>
      <c r="J75" s="18">
        <f t="shared" si="20"/>
        <v>11.77</v>
      </c>
      <c r="K75" s="18">
        <f t="shared" si="20"/>
        <v>11.1</v>
      </c>
      <c r="L75" s="18">
        <f t="shared" si="20"/>
        <v>9.07</v>
      </c>
      <c r="M75" s="18">
        <f t="shared" si="20"/>
        <v>12.97</v>
      </c>
      <c r="N75" s="18">
        <f t="shared" si="20"/>
        <v>13.49</v>
      </c>
      <c r="O75" s="18">
        <f t="shared" si="20"/>
        <v>11.47</v>
      </c>
      <c r="P75" s="18">
        <f t="shared" si="20"/>
        <v>12.98</v>
      </c>
      <c r="Q75" s="18">
        <f t="shared" si="20"/>
        <v>14.389999999999999</v>
      </c>
      <c r="R75" s="18">
        <f t="shared" si="20"/>
        <v>7.68</v>
      </c>
      <c r="S75" s="18">
        <f t="shared" si="20"/>
        <v>15.340000000000002</v>
      </c>
      <c r="T75" s="18">
        <f t="shared" si="20"/>
        <v>15.77</v>
      </c>
      <c r="U75" s="18">
        <f t="shared" si="20"/>
        <v>13.479999999999999</v>
      </c>
      <c r="V75" s="18">
        <f t="shared" si="20"/>
        <v>16.909999999999997</v>
      </c>
      <c r="W75" s="18">
        <f t="shared" si="20"/>
        <v>17.239999999999998</v>
      </c>
      <c r="X75" s="18">
        <f t="shared" si="20"/>
        <v>12.5</v>
      </c>
      <c r="Y75" s="18">
        <f t="shared" si="20"/>
        <v>17.29</v>
      </c>
      <c r="Z75" s="18">
        <f t="shared" si="20"/>
        <v>17.189999999999998</v>
      </c>
      <c r="AA75" s="18">
        <f t="shared" si="20"/>
        <v>12.639999999999999</v>
      </c>
      <c r="AB75" s="18">
        <f t="shared" si="20"/>
        <v>18.079999999999998</v>
      </c>
      <c r="AC75" s="18">
        <f t="shared" si="20"/>
        <v>15.200000000000001</v>
      </c>
    </row>
    <row r="76" spans="1:57">
      <c r="A76" s="11" t="s">
        <v>17</v>
      </c>
      <c r="F76" s="8"/>
      <c r="G76" s="7">
        <f>+G50</f>
        <v>12</v>
      </c>
      <c r="H76" s="7">
        <f t="shared" ref="H76:AC76" si="21">+H50</f>
        <v>12</v>
      </c>
      <c r="I76" s="7">
        <f t="shared" si="21"/>
        <v>12</v>
      </c>
      <c r="J76" s="7">
        <f t="shared" si="21"/>
        <v>12</v>
      </c>
      <c r="K76" s="7">
        <f t="shared" si="21"/>
        <v>12</v>
      </c>
      <c r="L76" s="7">
        <f t="shared" si="21"/>
        <v>12</v>
      </c>
      <c r="M76" s="7">
        <f t="shared" si="21"/>
        <v>12</v>
      </c>
      <c r="N76" s="7">
        <f t="shared" si="21"/>
        <v>12</v>
      </c>
      <c r="O76" s="7">
        <f t="shared" si="21"/>
        <v>12</v>
      </c>
      <c r="P76" s="7">
        <f t="shared" si="21"/>
        <v>12</v>
      </c>
      <c r="Q76" s="7">
        <f t="shared" si="21"/>
        <v>12</v>
      </c>
      <c r="R76" s="7">
        <f t="shared" si="21"/>
        <v>12</v>
      </c>
      <c r="S76" s="7">
        <f t="shared" si="21"/>
        <v>12</v>
      </c>
      <c r="T76" s="7">
        <f t="shared" si="21"/>
        <v>12</v>
      </c>
      <c r="U76" s="7">
        <f t="shared" si="21"/>
        <v>12</v>
      </c>
      <c r="V76" s="7">
        <f t="shared" si="21"/>
        <v>12</v>
      </c>
      <c r="W76" s="7">
        <f t="shared" si="21"/>
        <v>12</v>
      </c>
      <c r="X76" s="7">
        <f t="shared" si="21"/>
        <v>12</v>
      </c>
      <c r="Y76" s="7">
        <f t="shared" si="21"/>
        <v>12</v>
      </c>
      <c r="Z76" s="7">
        <f t="shared" si="21"/>
        <v>12</v>
      </c>
      <c r="AA76" s="7">
        <f t="shared" si="21"/>
        <v>12</v>
      </c>
      <c r="AB76" s="7">
        <f t="shared" si="21"/>
        <v>12</v>
      </c>
      <c r="AC76" s="7">
        <f t="shared" si="21"/>
        <v>12</v>
      </c>
    </row>
    <row r="77" spans="1:57">
      <c r="A77" s="11" t="s">
        <v>16</v>
      </c>
      <c r="F77" t="s">
        <v>26</v>
      </c>
      <c r="G77" s="21">
        <f>+$F$8</f>
        <v>263000</v>
      </c>
      <c r="H77" s="21">
        <f>+G77</f>
        <v>263000</v>
      </c>
      <c r="I77" s="21">
        <f t="shared" ref="I77:AC77" si="22">+H77</f>
        <v>263000</v>
      </c>
      <c r="J77" s="21">
        <f t="shared" si="22"/>
        <v>263000</v>
      </c>
      <c r="K77" s="21">
        <f t="shared" si="22"/>
        <v>263000</v>
      </c>
      <c r="L77" s="21">
        <f t="shared" si="22"/>
        <v>263000</v>
      </c>
      <c r="M77" s="21">
        <f t="shared" si="22"/>
        <v>263000</v>
      </c>
      <c r="N77" s="21">
        <f t="shared" si="22"/>
        <v>263000</v>
      </c>
      <c r="O77" s="21">
        <f t="shared" si="22"/>
        <v>263000</v>
      </c>
      <c r="P77" s="21">
        <f t="shared" si="22"/>
        <v>263000</v>
      </c>
      <c r="Q77" s="21">
        <f t="shared" si="22"/>
        <v>263000</v>
      </c>
      <c r="R77" s="21">
        <f t="shared" si="22"/>
        <v>263000</v>
      </c>
      <c r="S77" s="21">
        <f t="shared" si="22"/>
        <v>263000</v>
      </c>
      <c r="T77" s="21">
        <f t="shared" si="22"/>
        <v>263000</v>
      </c>
      <c r="U77" s="21">
        <f t="shared" si="22"/>
        <v>263000</v>
      </c>
      <c r="V77" s="21">
        <f t="shared" si="22"/>
        <v>263000</v>
      </c>
      <c r="W77" s="21">
        <f t="shared" si="22"/>
        <v>263000</v>
      </c>
      <c r="X77" s="21">
        <f t="shared" si="22"/>
        <v>263000</v>
      </c>
      <c r="Y77" s="21">
        <f t="shared" si="22"/>
        <v>263000</v>
      </c>
      <c r="Z77" s="21">
        <f t="shared" si="22"/>
        <v>263000</v>
      </c>
      <c r="AA77" s="21">
        <f t="shared" si="22"/>
        <v>263000</v>
      </c>
      <c r="AB77" s="21">
        <f t="shared" si="22"/>
        <v>263000</v>
      </c>
      <c r="AC77" s="21">
        <f t="shared" si="22"/>
        <v>263000</v>
      </c>
    </row>
    <row r="78" spans="1:57" s="6" customFormat="1">
      <c r="A78" s="53" t="s">
        <v>18</v>
      </c>
      <c r="G78" s="53">
        <f t="shared" ref="G78:AC78" si="23">+G77*G76*G75</f>
        <v>36735840</v>
      </c>
      <c r="H78" s="53">
        <f t="shared" si="23"/>
        <v>37619519.999999993</v>
      </c>
      <c r="I78" s="53">
        <f t="shared" si="23"/>
        <v>33548280.000000004</v>
      </c>
      <c r="J78" s="53">
        <f t="shared" si="23"/>
        <v>37146120</v>
      </c>
      <c r="K78" s="53">
        <f t="shared" si="23"/>
        <v>35031600</v>
      </c>
      <c r="L78" s="53">
        <f t="shared" si="23"/>
        <v>28624920</v>
      </c>
      <c r="M78" s="53">
        <f t="shared" si="23"/>
        <v>40933320</v>
      </c>
      <c r="N78" s="53">
        <f t="shared" si="23"/>
        <v>42574440</v>
      </c>
      <c r="O78" s="53">
        <f t="shared" si="23"/>
        <v>36199320</v>
      </c>
      <c r="P78" s="53">
        <f t="shared" si="23"/>
        <v>40964880</v>
      </c>
      <c r="Q78" s="53">
        <f t="shared" si="23"/>
        <v>45414839.999999993</v>
      </c>
      <c r="R78" s="53">
        <f t="shared" si="23"/>
        <v>24238080</v>
      </c>
      <c r="S78" s="53">
        <f t="shared" si="23"/>
        <v>48413040.000000007</v>
      </c>
      <c r="T78" s="53">
        <f t="shared" si="23"/>
        <v>49770120</v>
      </c>
      <c r="U78" s="53">
        <f t="shared" si="23"/>
        <v>42542879.999999993</v>
      </c>
      <c r="V78" s="53">
        <f t="shared" si="23"/>
        <v>53367959.999999993</v>
      </c>
      <c r="W78" s="53">
        <f t="shared" si="23"/>
        <v>54409439.999999993</v>
      </c>
      <c r="X78" s="53">
        <f t="shared" si="23"/>
        <v>39450000</v>
      </c>
      <c r="Y78" s="53">
        <f t="shared" si="23"/>
        <v>54567240</v>
      </c>
      <c r="Z78" s="53">
        <f t="shared" si="23"/>
        <v>54251639.999999993</v>
      </c>
      <c r="AA78" s="53">
        <f t="shared" si="23"/>
        <v>39891839.999999993</v>
      </c>
      <c r="AB78" s="53">
        <f t="shared" si="23"/>
        <v>57060479.999999993</v>
      </c>
      <c r="AC78" s="53">
        <f t="shared" si="23"/>
        <v>47971200</v>
      </c>
    </row>
    <row r="79" spans="1:57" s="6" customFormat="1">
      <c r="A79" s="53" t="s">
        <v>19</v>
      </c>
      <c r="G79" s="53">
        <f t="shared" ref="G79:AC79" si="24">+G78/G76</f>
        <v>3061320</v>
      </c>
      <c r="H79" s="53">
        <f t="shared" si="24"/>
        <v>3134959.9999999995</v>
      </c>
      <c r="I79" s="53">
        <f t="shared" si="24"/>
        <v>2795690.0000000005</v>
      </c>
      <c r="J79" s="53">
        <f t="shared" si="24"/>
        <v>3095510</v>
      </c>
      <c r="K79" s="53">
        <f t="shared" si="24"/>
        <v>2919300</v>
      </c>
      <c r="L79" s="53">
        <f t="shared" si="24"/>
        <v>2385410</v>
      </c>
      <c r="M79" s="53">
        <f t="shared" si="24"/>
        <v>3411110</v>
      </c>
      <c r="N79" s="53">
        <f t="shared" si="24"/>
        <v>3547870</v>
      </c>
      <c r="O79" s="53">
        <f t="shared" si="24"/>
        <v>3016610</v>
      </c>
      <c r="P79" s="53">
        <f t="shared" si="24"/>
        <v>3413740</v>
      </c>
      <c r="Q79" s="53">
        <f t="shared" si="24"/>
        <v>3784569.9999999995</v>
      </c>
      <c r="R79" s="53">
        <f t="shared" si="24"/>
        <v>2019840</v>
      </c>
      <c r="S79" s="53">
        <f t="shared" si="24"/>
        <v>4034420.0000000005</v>
      </c>
      <c r="T79" s="53">
        <f t="shared" si="24"/>
        <v>4147510</v>
      </c>
      <c r="U79" s="53">
        <f t="shared" si="24"/>
        <v>3545239.9999999995</v>
      </c>
      <c r="V79" s="53">
        <f t="shared" si="24"/>
        <v>4447329.9999999991</v>
      </c>
      <c r="W79" s="53">
        <f t="shared" si="24"/>
        <v>4534119.9999999991</v>
      </c>
      <c r="X79" s="53">
        <f t="shared" si="24"/>
        <v>3287500</v>
      </c>
      <c r="Y79" s="53">
        <f t="shared" si="24"/>
        <v>4547270</v>
      </c>
      <c r="Z79" s="53">
        <f t="shared" si="24"/>
        <v>4520969.9999999991</v>
      </c>
      <c r="AA79" s="53">
        <f t="shared" si="24"/>
        <v>3324319.9999999995</v>
      </c>
      <c r="AB79" s="53">
        <f t="shared" si="24"/>
        <v>4755039.9999999991</v>
      </c>
      <c r="AC79" s="53">
        <f t="shared" si="24"/>
        <v>3997600</v>
      </c>
    </row>
    <row r="80" spans="1:57" ht="13.5" thickBot="1">
      <c r="A80" s="11"/>
    </row>
    <row r="81" spans="1:29" ht="13.5" thickBot="1">
      <c r="A81" s="93" t="str">
        <f>CONCATENATE("XNPV",ROUND($F$9*100,2)," at 12/31/00")</f>
        <v>XNPV5 at 12/31/00</v>
      </c>
      <c r="B81" s="94">
        <v>527428366.87042397</v>
      </c>
    </row>
    <row r="84" spans="1:29" s="9" customFormat="1" ht="13.5" thickBot="1"/>
    <row r="85" spans="1:29" s="9" customFormat="1" ht="13.5" thickBot="1">
      <c r="A85" s="55" t="s">
        <v>62</v>
      </c>
      <c r="B85" s="54"/>
      <c r="C85" s="54"/>
      <c r="D85" s="54"/>
      <c r="E85" s="54"/>
      <c r="F85" s="54" t="s">
        <v>25</v>
      </c>
      <c r="G85" s="91">
        <v>0</v>
      </c>
      <c r="H85" s="91">
        <v>0</v>
      </c>
      <c r="I85" s="91">
        <v>0</v>
      </c>
      <c r="J85" s="91">
        <v>-1.08</v>
      </c>
      <c r="K85" s="91">
        <v>-1.1299999999999999</v>
      </c>
      <c r="L85" s="91">
        <v>-1.19</v>
      </c>
      <c r="M85" s="91">
        <v>-1.25</v>
      </c>
      <c r="N85" s="91">
        <v>-1.31</v>
      </c>
      <c r="O85" s="91">
        <v>-1.38</v>
      </c>
      <c r="P85" s="91">
        <v>-1.45</v>
      </c>
      <c r="Q85" s="91">
        <v>0</v>
      </c>
      <c r="R85" s="91">
        <v>0</v>
      </c>
      <c r="S85" s="91">
        <v>0</v>
      </c>
      <c r="T85" s="91">
        <v>0</v>
      </c>
      <c r="U85" s="91">
        <v>0</v>
      </c>
      <c r="V85" s="91">
        <v>0</v>
      </c>
      <c r="W85" s="91">
        <v>0</v>
      </c>
      <c r="X85" s="91">
        <v>0</v>
      </c>
      <c r="Y85" s="91">
        <v>0</v>
      </c>
      <c r="Z85" s="91">
        <v>0</v>
      </c>
      <c r="AA85" s="91">
        <v>0</v>
      </c>
      <c r="AB85" s="91">
        <v>0</v>
      </c>
      <c r="AC85" s="92">
        <v>0</v>
      </c>
    </row>
  </sheetData>
  <mergeCells count="19">
    <mergeCell ref="A1:AC1"/>
    <mergeCell ref="A2:AC2"/>
    <mergeCell ref="A5:AC5"/>
    <mergeCell ref="A7:F7"/>
    <mergeCell ref="Q7:AC7"/>
    <mergeCell ref="A44:F44"/>
    <mergeCell ref="A57:F57"/>
    <mergeCell ref="A70:F70"/>
    <mergeCell ref="A3:AC3"/>
    <mergeCell ref="A30:F30"/>
    <mergeCell ref="Y23:AC23"/>
    <mergeCell ref="S11:W11"/>
    <mergeCell ref="A19:F19"/>
    <mergeCell ref="Y19:AC19"/>
    <mergeCell ref="A11:F11"/>
    <mergeCell ref="A15:F15"/>
    <mergeCell ref="A23:F23"/>
    <mergeCell ref="Y11:AC11"/>
    <mergeCell ref="Y15:AC15"/>
  </mergeCells>
  <phoneticPr fontId="24" type="noConversion"/>
  <printOptions horizontalCentered="1"/>
  <pageMargins left="0.25" right="0.25" top="0.25" bottom="0.25" header="0.5" footer="0.5"/>
  <pageSetup paperSize="150" scale="49" orientation="landscape" horizontalDpi="0" r:id="rId1"/>
  <headerFooter alignWithMargins="0">
    <oddFooter>&amp;L&amp;F, &amp;A&amp;R&amp;D</oddFooter>
  </headerFooter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Z56"/>
  <sheetViews>
    <sheetView showGridLines="0" zoomScale="75" workbookViewId="0">
      <selection activeCell="A3" sqref="A3:Z3"/>
    </sheetView>
  </sheetViews>
  <sheetFormatPr defaultRowHeight="12.75"/>
  <cols>
    <col min="1" max="1" width="29.5703125" customWidth="1"/>
    <col min="2" max="3" width="11.28515625" customWidth="1"/>
    <col min="4" max="26" width="9.7109375" customWidth="1"/>
  </cols>
  <sheetData>
    <row r="1" spans="1:26" ht="22.5">
      <c r="A1" s="240" t="s">
        <v>95</v>
      </c>
      <c r="B1" s="240"/>
      <c r="C1" s="240"/>
      <c r="D1" s="240"/>
      <c r="E1" s="240"/>
      <c r="F1" s="240"/>
      <c r="G1" s="240"/>
      <c r="H1" s="240"/>
      <c r="I1" s="240"/>
      <c r="J1" s="240"/>
      <c r="K1" s="240"/>
      <c r="L1" s="240"/>
      <c r="M1" s="240"/>
      <c r="N1" s="240"/>
      <c r="O1" s="240"/>
      <c r="P1" s="240"/>
      <c r="Q1" s="240"/>
      <c r="R1" s="240"/>
      <c r="S1" s="240"/>
      <c r="T1" s="240"/>
      <c r="U1" s="240"/>
      <c r="V1" s="240"/>
      <c r="W1" s="240"/>
      <c r="X1" s="240"/>
      <c r="Y1" s="240"/>
      <c r="Z1" s="240"/>
    </row>
    <row r="2" spans="1:26" ht="16.5" customHeight="1">
      <c r="A2" s="233" t="s">
        <v>93</v>
      </c>
      <c r="B2" s="233"/>
      <c r="C2" s="233"/>
      <c r="D2" s="233"/>
      <c r="E2" s="233"/>
      <c r="F2" s="233"/>
      <c r="G2" s="233"/>
      <c r="H2" s="233"/>
      <c r="I2" s="233"/>
      <c r="J2" s="233"/>
      <c r="K2" s="233"/>
      <c r="L2" s="233"/>
      <c r="M2" s="233"/>
      <c r="N2" s="233"/>
      <c r="O2" s="233"/>
      <c r="P2" s="233"/>
      <c r="Q2" s="233"/>
      <c r="R2" s="233"/>
      <c r="S2" s="233"/>
      <c r="T2" s="233"/>
      <c r="U2" s="233"/>
      <c r="V2" s="233"/>
      <c r="W2" s="233"/>
      <c r="X2" s="233"/>
      <c r="Y2" s="233"/>
      <c r="Z2" s="233"/>
    </row>
    <row r="3" spans="1:26" ht="16.5" customHeight="1">
      <c r="A3" s="233"/>
      <c r="B3" s="233"/>
      <c r="C3" s="233"/>
      <c r="D3" s="233"/>
      <c r="E3" s="233"/>
      <c r="F3" s="233"/>
      <c r="G3" s="233"/>
      <c r="H3" s="233"/>
      <c r="I3" s="233"/>
      <c r="J3" s="233"/>
      <c r="K3" s="233"/>
      <c r="L3" s="233"/>
      <c r="M3" s="233"/>
      <c r="N3" s="233"/>
      <c r="O3" s="233"/>
      <c r="P3" s="233"/>
      <c r="Q3" s="233"/>
      <c r="R3" s="233"/>
      <c r="S3" s="233"/>
      <c r="T3" s="233"/>
      <c r="U3" s="233"/>
      <c r="V3" s="233"/>
      <c r="W3" s="233"/>
      <c r="X3" s="233"/>
      <c r="Y3" s="233"/>
      <c r="Z3" s="233"/>
    </row>
    <row r="4" spans="1:26" ht="15.75">
      <c r="A4" s="56"/>
      <c r="B4" s="56"/>
      <c r="C4" s="56"/>
      <c r="D4" s="56"/>
      <c r="E4" s="56"/>
      <c r="F4" s="56"/>
      <c r="G4" s="56"/>
      <c r="H4" s="56"/>
      <c r="I4" s="56"/>
      <c r="J4" s="56"/>
      <c r="K4" s="56"/>
      <c r="L4" s="56"/>
      <c r="M4" s="56"/>
      <c r="N4" s="56"/>
      <c r="O4" s="56"/>
      <c r="P4" s="56"/>
      <c r="Q4" s="56"/>
      <c r="R4" s="56"/>
      <c r="S4" s="56"/>
      <c r="T4" s="56"/>
      <c r="U4" s="56"/>
      <c r="V4" s="56"/>
      <c r="W4" s="56"/>
      <c r="X4" s="56"/>
      <c r="Y4" s="56"/>
      <c r="Z4" s="56"/>
    </row>
    <row r="5" spans="1:26" ht="16.5" customHeight="1">
      <c r="A5" s="241" t="s">
        <v>34</v>
      </c>
      <c r="B5" s="241"/>
      <c r="C5" s="241"/>
      <c r="D5" s="241"/>
      <c r="E5" s="241"/>
      <c r="F5" s="241"/>
      <c r="G5" s="241"/>
      <c r="H5" s="241"/>
      <c r="I5" s="241"/>
      <c r="J5" s="241"/>
      <c r="K5" s="241"/>
      <c r="L5" s="241"/>
      <c r="M5" s="241"/>
      <c r="N5" s="241"/>
      <c r="O5" s="241"/>
      <c r="P5" s="241"/>
      <c r="Q5" s="241"/>
      <c r="R5" s="241"/>
      <c r="S5" s="241"/>
      <c r="T5" s="241"/>
      <c r="U5" s="241"/>
      <c r="V5" s="241"/>
      <c r="W5" s="241"/>
      <c r="X5" s="241"/>
      <c r="Y5" s="241"/>
      <c r="Z5" s="241"/>
    </row>
    <row r="8" spans="1:26" s="1" customFormat="1">
      <c r="D8" s="151">
        <v>1997</v>
      </c>
      <c r="E8" s="152">
        <v>1998</v>
      </c>
      <c r="F8" s="152">
        <v>1999</v>
      </c>
      <c r="G8" s="152">
        <v>2000</v>
      </c>
      <c r="H8" s="152">
        <v>2001</v>
      </c>
      <c r="I8" s="152">
        <v>2002</v>
      </c>
      <c r="J8" s="152">
        <v>2003</v>
      </c>
      <c r="K8" s="152">
        <v>2004</v>
      </c>
      <c r="L8" s="152">
        <v>2005</v>
      </c>
      <c r="M8" s="152">
        <v>2006</v>
      </c>
      <c r="N8" s="152">
        <v>2007</v>
      </c>
      <c r="O8" s="152">
        <v>2008</v>
      </c>
      <c r="P8" s="152">
        <v>2009</v>
      </c>
      <c r="Q8" s="152">
        <v>2010</v>
      </c>
      <c r="R8" s="152">
        <v>2011</v>
      </c>
      <c r="S8" s="152">
        <v>2012</v>
      </c>
      <c r="T8" s="152">
        <v>2013</v>
      </c>
      <c r="U8" s="152">
        <v>2014</v>
      </c>
      <c r="V8" s="152">
        <v>2015</v>
      </c>
      <c r="W8" s="152">
        <v>2016</v>
      </c>
      <c r="X8" s="152">
        <v>2017</v>
      </c>
      <c r="Y8" s="152">
        <v>2018</v>
      </c>
      <c r="Z8" s="153">
        <v>2019</v>
      </c>
    </row>
    <row r="9" spans="1:26" s="1" customFormat="1"/>
    <row r="10" spans="1:26">
      <c r="A10" s="147" t="s">
        <v>64</v>
      </c>
      <c r="B10" s="148"/>
      <c r="C10" s="149"/>
    </row>
    <row r="11" spans="1:26" s="5" customFormat="1">
      <c r="A11" s="144" t="s">
        <v>0</v>
      </c>
      <c r="B11" s="61"/>
      <c r="D11" s="105">
        <f>0.00375+0.00375</f>
        <v>7.4999999999999997E-3</v>
      </c>
      <c r="E11" s="105">
        <f>0.003125*4</f>
        <v>1.2500000000000001E-2</v>
      </c>
      <c r="F11" s="105">
        <f>0.004375*4</f>
        <v>1.7500000000000002E-2</v>
      </c>
      <c r="G11" s="105">
        <v>2.2499999999999999E-2</v>
      </c>
      <c r="H11" s="105">
        <v>2.75E-2</v>
      </c>
      <c r="I11" s="105">
        <v>2.75E-2</v>
      </c>
      <c r="J11" s="105">
        <v>3.2500000000000001E-2</v>
      </c>
      <c r="K11" s="105">
        <v>3.7499999999999999E-2</v>
      </c>
      <c r="L11" s="105">
        <v>4.2500000000000003E-2</v>
      </c>
      <c r="M11" s="105">
        <v>4.7500000000000001E-2</v>
      </c>
      <c r="N11" s="105">
        <v>0.1071</v>
      </c>
      <c r="O11" s="105">
        <v>0.12529999999999999</v>
      </c>
      <c r="P11" s="105">
        <v>0.1167</v>
      </c>
      <c r="Q11" s="105">
        <v>0.13389999999999999</v>
      </c>
      <c r="R11" s="105">
        <v>0.1555</v>
      </c>
      <c r="S11" s="105">
        <v>8.6500000000000007E-2</v>
      </c>
      <c r="T11" s="105">
        <v>0</v>
      </c>
      <c r="U11" s="105">
        <v>0</v>
      </c>
      <c r="V11" s="105">
        <v>0</v>
      </c>
      <c r="W11" s="105">
        <v>0</v>
      </c>
      <c r="X11" s="105">
        <v>0</v>
      </c>
      <c r="Y11" s="105">
        <v>0</v>
      </c>
      <c r="Z11" s="105">
        <v>0</v>
      </c>
    </row>
    <row r="12" spans="1:26">
      <c r="A12" s="145" t="s">
        <v>1</v>
      </c>
      <c r="B12" s="20"/>
      <c r="D12" s="57">
        <v>0</v>
      </c>
      <c r="E12" s="57">
        <f t="shared" ref="E12:R15" si="0">+E$11*$C$50/4</f>
        <v>287.5</v>
      </c>
      <c r="F12" s="57">
        <f t="shared" si="0"/>
        <v>402.50000000000006</v>
      </c>
      <c r="G12" s="57">
        <f t="shared" si="0"/>
        <v>517.5</v>
      </c>
      <c r="H12" s="57">
        <f t="shared" si="0"/>
        <v>632.5</v>
      </c>
      <c r="I12" s="57">
        <f t="shared" si="0"/>
        <v>632.5</v>
      </c>
      <c r="J12" s="57">
        <f t="shared" si="0"/>
        <v>747.5</v>
      </c>
      <c r="K12" s="57">
        <f t="shared" si="0"/>
        <v>862.5</v>
      </c>
      <c r="L12" s="57">
        <f t="shared" si="0"/>
        <v>977.50000000000011</v>
      </c>
      <c r="M12" s="57">
        <f t="shared" si="0"/>
        <v>1092.5</v>
      </c>
      <c r="N12" s="57">
        <f t="shared" si="0"/>
        <v>2463.3000000000002</v>
      </c>
      <c r="O12" s="57">
        <f t="shared" si="0"/>
        <v>2881.9</v>
      </c>
      <c r="P12" s="57">
        <f t="shared" si="0"/>
        <v>2684.1</v>
      </c>
      <c r="Q12" s="57">
        <f t="shared" si="0"/>
        <v>3079.7</v>
      </c>
      <c r="R12" s="57">
        <f t="shared" si="0"/>
        <v>3576.5</v>
      </c>
      <c r="S12" s="57">
        <f>+S$11*$C$50/2</f>
        <v>3979.0000000000005</v>
      </c>
      <c r="T12" s="57">
        <f t="shared" ref="T12:Z15" si="1">+T$11*$C$50/4</f>
        <v>0</v>
      </c>
      <c r="U12" s="57">
        <f t="shared" si="1"/>
        <v>0</v>
      </c>
      <c r="V12" s="57">
        <f t="shared" si="1"/>
        <v>0</v>
      </c>
      <c r="W12" s="57">
        <f t="shared" si="1"/>
        <v>0</v>
      </c>
      <c r="X12" s="57">
        <f t="shared" si="1"/>
        <v>0</v>
      </c>
      <c r="Y12" s="57">
        <f t="shared" si="1"/>
        <v>0</v>
      </c>
      <c r="Z12" s="57">
        <f t="shared" si="1"/>
        <v>0</v>
      </c>
    </row>
    <row r="13" spans="1:26">
      <c r="A13" s="145" t="s">
        <v>2</v>
      </c>
      <c r="B13" s="20"/>
      <c r="D13" s="57">
        <v>0</v>
      </c>
      <c r="E13" s="57">
        <f t="shared" si="0"/>
        <v>287.5</v>
      </c>
      <c r="F13" s="57">
        <f t="shared" si="0"/>
        <v>402.50000000000006</v>
      </c>
      <c r="G13" s="57">
        <f t="shared" si="0"/>
        <v>517.5</v>
      </c>
      <c r="H13" s="57">
        <f t="shared" si="0"/>
        <v>632.5</v>
      </c>
      <c r="I13" s="57">
        <f t="shared" si="0"/>
        <v>632.5</v>
      </c>
      <c r="J13" s="57">
        <f t="shared" si="0"/>
        <v>747.5</v>
      </c>
      <c r="K13" s="57">
        <f t="shared" si="0"/>
        <v>862.5</v>
      </c>
      <c r="L13" s="57">
        <f t="shared" si="0"/>
        <v>977.50000000000011</v>
      </c>
      <c r="M13" s="57">
        <f t="shared" si="0"/>
        <v>1092.5</v>
      </c>
      <c r="N13" s="57">
        <f t="shared" si="0"/>
        <v>2463.3000000000002</v>
      </c>
      <c r="O13" s="57">
        <f t="shared" si="0"/>
        <v>2881.9</v>
      </c>
      <c r="P13" s="57">
        <f t="shared" si="0"/>
        <v>2684.1</v>
      </c>
      <c r="Q13" s="57">
        <f t="shared" si="0"/>
        <v>3079.7</v>
      </c>
      <c r="R13" s="57">
        <f t="shared" si="0"/>
        <v>3576.5</v>
      </c>
      <c r="S13" s="57">
        <f>+S$11*$C$50/2</f>
        <v>3979.0000000000005</v>
      </c>
      <c r="T13" s="57">
        <f t="shared" si="1"/>
        <v>0</v>
      </c>
      <c r="U13" s="57">
        <f t="shared" si="1"/>
        <v>0</v>
      </c>
      <c r="V13" s="57">
        <f t="shared" si="1"/>
        <v>0</v>
      </c>
      <c r="W13" s="57">
        <f t="shared" si="1"/>
        <v>0</v>
      </c>
      <c r="X13" s="57">
        <f t="shared" si="1"/>
        <v>0</v>
      </c>
      <c r="Y13" s="57">
        <f t="shared" si="1"/>
        <v>0</v>
      </c>
      <c r="Z13" s="57">
        <f t="shared" si="1"/>
        <v>0</v>
      </c>
    </row>
    <row r="14" spans="1:26">
      <c r="A14" s="145" t="s">
        <v>3</v>
      </c>
      <c r="B14" s="20"/>
      <c r="D14" s="57">
        <f>+D$11*$C$50/2</f>
        <v>345</v>
      </c>
      <c r="E14" s="57">
        <f t="shared" si="0"/>
        <v>287.5</v>
      </c>
      <c r="F14" s="57">
        <f t="shared" si="0"/>
        <v>402.50000000000006</v>
      </c>
      <c r="G14" s="57">
        <f t="shared" si="0"/>
        <v>517.5</v>
      </c>
      <c r="H14" s="57">
        <f t="shared" si="0"/>
        <v>632.5</v>
      </c>
      <c r="I14" s="57">
        <f t="shared" si="0"/>
        <v>632.5</v>
      </c>
      <c r="J14" s="57">
        <f t="shared" si="0"/>
        <v>747.5</v>
      </c>
      <c r="K14" s="57">
        <f t="shared" si="0"/>
        <v>862.5</v>
      </c>
      <c r="L14" s="57">
        <f t="shared" si="0"/>
        <v>977.50000000000011</v>
      </c>
      <c r="M14" s="57">
        <f t="shared" si="0"/>
        <v>1092.5</v>
      </c>
      <c r="N14" s="57">
        <f t="shared" si="0"/>
        <v>2463.3000000000002</v>
      </c>
      <c r="O14" s="57">
        <f t="shared" si="0"/>
        <v>2881.9</v>
      </c>
      <c r="P14" s="57">
        <f t="shared" si="0"/>
        <v>2684.1</v>
      </c>
      <c r="Q14" s="57">
        <f t="shared" si="0"/>
        <v>3079.7</v>
      </c>
      <c r="R14" s="57">
        <f t="shared" si="0"/>
        <v>3576.5</v>
      </c>
      <c r="S14" s="57">
        <v>0</v>
      </c>
      <c r="T14" s="57">
        <f t="shared" si="1"/>
        <v>0</v>
      </c>
      <c r="U14" s="57">
        <f t="shared" si="1"/>
        <v>0</v>
      </c>
      <c r="V14" s="57">
        <f t="shared" si="1"/>
        <v>0</v>
      </c>
      <c r="W14" s="57">
        <f t="shared" si="1"/>
        <v>0</v>
      </c>
      <c r="X14" s="57">
        <f t="shared" si="1"/>
        <v>0</v>
      </c>
      <c r="Y14" s="57">
        <f t="shared" si="1"/>
        <v>0</v>
      </c>
      <c r="Z14" s="57">
        <f t="shared" si="1"/>
        <v>0</v>
      </c>
    </row>
    <row r="15" spans="1:26">
      <c r="A15" s="145" t="s">
        <v>4</v>
      </c>
      <c r="B15" s="20"/>
      <c r="D15" s="57">
        <f>+D$11*$C$50/2</f>
        <v>345</v>
      </c>
      <c r="E15" s="57">
        <f t="shared" si="0"/>
        <v>287.5</v>
      </c>
      <c r="F15" s="57">
        <f t="shared" si="0"/>
        <v>402.50000000000006</v>
      </c>
      <c r="G15" s="57">
        <f t="shared" si="0"/>
        <v>517.5</v>
      </c>
      <c r="H15" s="57">
        <f t="shared" si="0"/>
        <v>632.5</v>
      </c>
      <c r="I15" s="57">
        <f t="shared" si="0"/>
        <v>632.5</v>
      </c>
      <c r="J15" s="57">
        <f t="shared" si="0"/>
        <v>747.5</v>
      </c>
      <c r="K15" s="57">
        <f t="shared" si="0"/>
        <v>862.5</v>
      </c>
      <c r="L15" s="57">
        <f t="shared" si="0"/>
        <v>977.50000000000011</v>
      </c>
      <c r="M15" s="57">
        <f t="shared" si="0"/>
        <v>1092.5</v>
      </c>
      <c r="N15" s="57">
        <f t="shared" si="0"/>
        <v>2463.3000000000002</v>
      </c>
      <c r="O15" s="57">
        <f t="shared" si="0"/>
        <v>2881.9</v>
      </c>
      <c r="P15" s="57">
        <f t="shared" si="0"/>
        <v>2684.1</v>
      </c>
      <c r="Q15" s="57">
        <f t="shared" si="0"/>
        <v>3079.7</v>
      </c>
      <c r="R15" s="57">
        <f t="shared" si="0"/>
        <v>3576.5</v>
      </c>
      <c r="S15" s="57">
        <v>0</v>
      </c>
      <c r="T15" s="57">
        <f t="shared" si="1"/>
        <v>0</v>
      </c>
      <c r="U15" s="57">
        <f t="shared" si="1"/>
        <v>0</v>
      </c>
      <c r="V15" s="57">
        <f t="shared" si="1"/>
        <v>0</v>
      </c>
      <c r="W15" s="57">
        <f t="shared" si="1"/>
        <v>0</v>
      </c>
      <c r="X15" s="57">
        <f t="shared" si="1"/>
        <v>0</v>
      </c>
      <c r="Y15" s="57">
        <f t="shared" si="1"/>
        <v>0</v>
      </c>
      <c r="Z15" s="57">
        <f t="shared" si="1"/>
        <v>0</v>
      </c>
    </row>
    <row r="16" spans="1:26">
      <c r="A16" s="145"/>
      <c r="B16" s="20"/>
      <c r="D16" s="57"/>
      <c r="E16" s="57"/>
      <c r="F16" s="57"/>
      <c r="G16" s="57"/>
      <c r="H16" s="57"/>
      <c r="I16" s="57"/>
      <c r="J16" s="57"/>
      <c r="K16" s="57"/>
      <c r="L16" s="57"/>
      <c r="M16" s="57"/>
      <c r="N16" s="57"/>
      <c r="O16" s="57"/>
      <c r="P16" s="57"/>
      <c r="Q16" s="57"/>
      <c r="R16" s="57"/>
      <c r="S16" s="57"/>
      <c r="T16" s="57"/>
      <c r="U16" s="57"/>
      <c r="V16" s="57"/>
      <c r="W16" s="57"/>
      <c r="X16" s="57"/>
      <c r="Y16" s="57"/>
      <c r="Z16" s="57"/>
    </row>
    <row r="17" spans="1:26">
      <c r="A17" s="145" t="s">
        <v>5</v>
      </c>
      <c r="B17" s="20"/>
      <c r="D17" s="57">
        <f>+C50</f>
        <v>92000</v>
      </c>
      <c r="E17" s="57">
        <f t="shared" ref="E17:Z17" si="2">+D20-D15</f>
        <v>91310</v>
      </c>
      <c r="F17" s="57">
        <f t="shared" si="2"/>
        <v>90160</v>
      </c>
      <c r="G17" s="57">
        <f t="shared" si="2"/>
        <v>88550</v>
      </c>
      <c r="H17" s="57">
        <f t="shared" si="2"/>
        <v>86480</v>
      </c>
      <c r="I17" s="57">
        <f t="shared" si="2"/>
        <v>83950</v>
      </c>
      <c r="J17" s="57">
        <f t="shared" si="2"/>
        <v>81420</v>
      </c>
      <c r="K17" s="57">
        <f t="shared" si="2"/>
        <v>78430</v>
      </c>
      <c r="L17" s="57">
        <f t="shared" si="2"/>
        <v>74980</v>
      </c>
      <c r="M17" s="57">
        <f t="shared" si="2"/>
        <v>71070</v>
      </c>
      <c r="N17" s="57">
        <f t="shared" si="2"/>
        <v>66700</v>
      </c>
      <c r="O17" s="57">
        <f t="shared" si="2"/>
        <v>56846.799999999988</v>
      </c>
      <c r="P17" s="57">
        <f t="shared" si="2"/>
        <v>45319.199999999983</v>
      </c>
      <c r="Q17" s="57">
        <f t="shared" si="2"/>
        <v>34582.799999999988</v>
      </c>
      <c r="R17" s="57">
        <f t="shared" si="2"/>
        <v>22263.999999999985</v>
      </c>
      <c r="S17" s="57">
        <f t="shared" si="2"/>
        <v>7957.9999999999854</v>
      </c>
      <c r="T17" s="57">
        <f t="shared" si="2"/>
        <v>-1.546140993013978E-11</v>
      </c>
      <c r="U17" s="57">
        <f t="shared" si="2"/>
        <v>-1.546140993013978E-11</v>
      </c>
      <c r="V17" s="57">
        <f t="shared" si="2"/>
        <v>-1.546140993013978E-11</v>
      </c>
      <c r="W17" s="57">
        <f t="shared" si="2"/>
        <v>-1.546140993013978E-11</v>
      </c>
      <c r="X17" s="57">
        <f t="shared" si="2"/>
        <v>-1.546140993013978E-11</v>
      </c>
      <c r="Y17" s="57">
        <f t="shared" si="2"/>
        <v>-1.546140993013978E-11</v>
      </c>
      <c r="Z17" s="57">
        <f t="shared" si="2"/>
        <v>-1.546140993013978E-11</v>
      </c>
    </row>
    <row r="18" spans="1:26">
      <c r="A18" s="145" t="s">
        <v>6</v>
      </c>
      <c r="B18" s="20"/>
      <c r="D18" s="57">
        <f t="shared" ref="D18:M20" si="3">+D17-D12</f>
        <v>92000</v>
      </c>
      <c r="E18" s="57">
        <f t="shared" si="3"/>
        <v>91022.5</v>
      </c>
      <c r="F18" s="57">
        <f t="shared" si="3"/>
        <v>89757.5</v>
      </c>
      <c r="G18" s="57">
        <f t="shared" si="3"/>
        <v>88032.5</v>
      </c>
      <c r="H18" s="57">
        <f t="shared" si="3"/>
        <v>85847.5</v>
      </c>
      <c r="I18" s="57">
        <f t="shared" si="3"/>
        <v>83317.5</v>
      </c>
      <c r="J18" s="57">
        <f t="shared" si="3"/>
        <v>80672.5</v>
      </c>
      <c r="K18" s="57">
        <f t="shared" si="3"/>
        <v>77567.5</v>
      </c>
      <c r="L18" s="57">
        <f t="shared" si="3"/>
        <v>74002.5</v>
      </c>
      <c r="M18" s="57">
        <f t="shared" si="3"/>
        <v>69977.5</v>
      </c>
      <c r="N18" s="57">
        <f t="shared" ref="N18:W20" si="4">+N17-N12</f>
        <v>64236.7</v>
      </c>
      <c r="O18" s="57">
        <f t="shared" si="4"/>
        <v>53964.899999999987</v>
      </c>
      <c r="P18" s="57">
        <f t="shared" si="4"/>
        <v>42635.099999999984</v>
      </c>
      <c r="Q18" s="57">
        <f t="shared" si="4"/>
        <v>31503.099999999988</v>
      </c>
      <c r="R18" s="57">
        <f t="shared" si="4"/>
        <v>18687.499999999985</v>
      </c>
      <c r="S18" s="57">
        <f t="shared" si="4"/>
        <v>3978.999999999985</v>
      </c>
      <c r="T18" s="57">
        <f t="shared" si="4"/>
        <v>-1.546140993013978E-11</v>
      </c>
      <c r="U18" s="57">
        <f t="shared" si="4"/>
        <v>-1.546140993013978E-11</v>
      </c>
      <c r="V18" s="57">
        <f t="shared" si="4"/>
        <v>-1.546140993013978E-11</v>
      </c>
      <c r="W18" s="57">
        <f t="shared" si="4"/>
        <v>-1.546140993013978E-11</v>
      </c>
      <c r="X18" s="57">
        <f t="shared" ref="X18:Z20" si="5">+X17-X12</f>
        <v>-1.546140993013978E-11</v>
      </c>
      <c r="Y18" s="57">
        <f t="shared" si="5"/>
        <v>-1.546140993013978E-11</v>
      </c>
      <c r="Z18" s="57">
        <f t="shared" si="5"/>
        <v>-1.546140993013978E-11</v>
      </c>
    </row>
    <row r="19" spans="1:26">
      <c r="A19" s="145" t="s">
        <v>7</v>
      </c>
      <c r="B19" s="20"/>
      <c r="D19" s="57">
        <f>+D18-D13</f>
        <v>92000</v>
      </c>
      <c r="E19" s="57">
        <f t="shared" si="3"/>
        <v>90735</v>
      </c>
      <c r="F19" s="57">
        <f t="shared" si="3"/>
        <v>89355</v>
      </c>
      <c r="G19" s="57">
        <f t="shared" si="3"/>
        <v>87515</v>
      </c>
      <c r="H19" s="57">
        <f t="shared" si="3"/>
        <v>85215</v>
      </c>
      <c r="I19" s="57">
        <f t="shared" si="3"/>
        <v>82685</v>
      </c>
      <c r="J19" s="57">
        <f t="shared" si="3"/>
        <v>79925</v>
      </c>
      <c r="K19" s="57">
        <f t="shared" si="3"/>
        <v>76705</v>
      </c>
      <c r="L19" s="57">
        <f t="shared" si="3"/>
        <v>73025</v>
      </c>
      <c r="M19" s="57">
        <f t="shared" si="3"/>
        <v>68885</v>
      </c>
      <c r="N19" s="57">
        <f t="shared" si="4"/>
        <v>61773.399999999994</v>
      </c>
      <c r="O19" s="57">
        <f t="shared" si="4"/>
        <v>51082.999999999985</v>
      </c>
      <c r="P19" s="57">
        <f t="shared" si="4"/>
        <v>39950.999999999985</v>
      </c>
      <c r="Q19" s="57">
        <f t="shared" si="4"/>
        <v>28423.399999999987</v>
      </c>
      <c r="R19" s="57">
        <f t="shared" si="4"/>
        <v>15110.999999999985</v>
      </c>
      <c r="S19" s="57">
        <f t="shared" si="4"/>
        <v>-1.546140993013978E-11</v>
      </c>
      <c r="T19" s="57">
        <f t="shared" si="4"/>
        <v>-1.546140993013978E-11</v>
      </c>
      <c r="U19" s="57">
        <f t="shared" si="4"/>
        <v>-1.546140993013978E-11</v>
      </c>
      <c r="V19" s="57">
        <f t="shared" si="4"/>
        <v>-1.546140993013978E-11</v>
      </c>
      <c r="W19" s="57">
        <f t="shared" si="4"/>
        <v>-1.546140993013978E-11</v>
      </c>
      <c r="X19" s="57">
        <f t="shared" si="5"/>
        <v>-1.546140993013978E-11</v>
      </c>
      <c r="Y19" s="57">
        <f t="shared" si="5"/>
        <v>-1.546140993013978E-11</v>
      </c>
      <c r="Z19" s="57">
        <f t="shared" si="5"/>
        <v>-1.546140993013978E-11</v>
      </c>
    </row>
    <row r="20" spans="1:26">
      <c r="A20" s="145" t="s">
        <v>8</v>
      </c>
      <c r="B20" s="20"/>
      <c r="D20" s="57">
        <f t="shared" si="3"/>
        <v>91655</v>
      </c>
      <c r="E20" s="57">
        <f t="shared" si="3"/>
        <v>90447.5</v>
      </c>
      <c r="F20" s="57">
        <f t="shared" si="3"/>
        <v>88952.5</v>
      </c>
      <c r="G20" s="57">
        <f t="shared" si="3"/>
        <v>86997.5</v>
      </c>
      <c r="H20" s="57">
        <f t="shared" si="3"/>
        <v>84582.5</v>
      </c>
      <c r="I20" s="57">
        <f t="shared" si="3"/>
        <v>82052.5</v>
      </c>
      <c r="J20" s="57">
        <f t="shared" si="3"/>
        <v>79177.5</v>
      </c>
      <c r="K20" s="57">
        <f t="shared" si="3"/>
        <v>75842.5</v>
      </c>
      <c r="L20" s="57">
        <f t="shared" si="3"/>
        <v>72047.5</v>
      </c>
      <c r="M20" s="57">
        <f t="shared" si="3"/>
        <v>67792.5</v>
      </c>
      <c r="N20" s="57">
        <f t="shared" si="4"/>
        <v>59310.099999999991</v>
      </c>
      <c r="O20" s="57">
        <f t="shared" si="4"/>
        <v>48201.099999999984</v>
      </c>
      <c r="P20" s="57">
        <f t="shared" si="4"/>
        <v>37266.899999999987</v>
      </c>
      <c r="Q20" s="57">
        <f t="shared" si="4"/>
        <v>25343.699999999986</v>
      </c>
      <c r="R20" s="57">
        <f t="shared" si="4"/>
        <v>11534.499999999985</v>
      </c>
      <c r="S20" s="57">
        <f t="shared" si="4"/>
        <v>-1.546140993013978E-11</v>
      </c>
      <c r="T20" s="57">
        <f t="shared" si="4"/>
        <v>-1.546140993013978E-11</v>
      </c>
      <c r="U20" s="57">
        <f t="shared" si="4"/>
        <v>-1.546140993013978E-11</v>
      </c>
      <c r="V20" s="57">
        <f t="shared" si="4"/>
        <v>-1.546140993013978E-11</v>
      </c>
      <c r="W20" s="57">
        <f t="shared" si="4"/>
        <v>-1.546140993013978E-11</v>
      </c>
      <c r="X20" s="57">
        <f t="shared" si="5"/>
        <v>-1.546140993013978E-11</v>
      </c>
      <c r="Y20" s="57">
        <f t="shared" si="5"/>
        <v>-1.546140993013978E-11</v>
      </c>
      <c r="Z20" s="57">
        <f t="shared" si="5"/>
        <v>-1.546140993013978E-11</v>
      </c>
    </row>
    <row r="21" spans="1:26">
      <c r="A21" s="145"/>
      <c r="B21" s="20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spans="1:26">
      <c r="A22" s="147" t="s">
        <v>9</v>
      </c>
      <c r="B22" s="148"/>
      <c r="C22" s="149"/>
    </row>
    <row r="23" spans="1:26">
      <c r="A23" s="145" t="s">
        <v>0</v>
      </c>
      <c r="B23" s="20"/>
      <c r="D23" s="106">
        <v>0</v>
      </c>
      <c r="E23" s="106">
        <v>0</v>
      </c>
      <c r="F23" s="106">
        <v>0</v>
      </c>
      <c r="G23" s="106">
        <v>0</v>
      </c>
      <c r="H23" s="106">
        <v>0</v>
      </c>
      <c r="I23" s="106">
        <v>0</v>
      </c>
      <c r="J23" s="106">
        <v>0</v>
      </c>
      <c r="K23" s="106">
        <v>0</v>
      </c>
      <c r="L23" s="106">
        <v>0</v>
      </c>
      <c r="M23" s="106">
        <v>0</v>
      </c>
      <c r="N23" s="106">
        <v>0</v>
      </c>
      <c r="O23" s="106">
        <v>0</v>
      </c>
      <c r="P23" s="106">
        <v>0</v>
      </c>
      <c r="Q23" s="106">
        <v>0</v>
      </c>
      <c r="R23" s="106">
        <v>0</v>
      </c>
      <c r="S23" s="106">
        <v>0.16428400000000001</v>
      </c>
      <c r="T23" s="106">
        <v>0.18</v>
      </c>
      <c r="U23" s="106">
        <v>0.19714400000000001</v>
      </c>
      <c r="V23" s="106">
        <v>0.21857199999999999</v>
      </c>
      <c r="W23" s="106">
        <v>0.24</v>
      </c>
      <c r="X23" s="106">
        <v>0</v>
      </c>
      <c r="Y23" s="106">
        <v>0</v>
      </c>
      <c r="Z23" s="106">
        <v>0</v>
      </c>
    </row>
    <row r="24" spans="1:26">
      <c r="A24" s="145" t="s">
        <v>1</v>
      </c>
      <c r="B24" s="20"/>
      <c r="D24" s="57">
        <f t="shared" ref="D24:R27" si="6">+D$23*$C$51/4</f>
        <v>0</v>
      </c>
      <c r="E24" s="57">
        <f t="shared" si="6"/>
        <v>0</v>
      </c>
      <c r="F24" s="57">
        <f t="shared" si="6"/>
        <v>0</v>
      </c>
      <c r="G24" s="57">
        <f t="shared" si="6"/>
        <v>0</v>
      </c>
      <c r="H24" s="57">
        <f t="shared" si="6"/>
        <v>0</v>
      </c>
      <c r="I24" s="57">
        <f t="shared" si="6"/>
        <v>0</v>
      </c>
      <c r="J24" s="57">
        <f t="shared" si="6"/>
        <v>0</v>
      </c>
      <c r="K24" s="57">
        <f t="shared" si="6"/>
        <v>0</v>
      </c>
      <c r="L24" s="57">
        <f t="shared" si="6"/>
        <v>0</v>
      </c>
      <c r="M24" s="57">
        <f t="shared" si="6"/>
        <v>0</v>
      </c>
      <c r="N24" s="57">
        <f t="shared" si="6"/>
        <v>0</v>
      </c>
      <c r="O24" s="57">
        <f t="shared" si="6"/>
        <v>0</v>
      </c>
      <c r="P24" s="57">
        <f t="shared" si="6"/>
        <v>0</v>
      </c>
      <c r="Q24" s="57">
        <f t="shared" si="6"/>
        <v>0</v>
      </c>
      <c r="R24" s="57">
        <f t="shared" si="6"/>
        <v>0</v>
      </c>
      <c r="S24" s="57">
        <v>0</v>
      </c>
      <c r="T24" s="57">
        <f t="shared" ref="T24:Z27" si="7">+T$23*$C$51/4</f>
        <v>3150</v>
      </c>
      <c r="U24" s="57">
        <f t="shared" si="7"/>
        <v>3450.0200000000004</v>
      </c>
      <c r="V24" s="57">
        <f t="shared" si="7"/>
        <v>3825.0099999999998</v>
      </c>
      <c r="W24" s="57">
        <f t="shared" si="7"/>
        <v>4200</v>
      </c>
      <c r="X24" s="57">
        <f t="shared" si="7"/>
        <v>0</v>
      </c>
      <c r="Y24" s="57">
        <f t="shared" si="7"/>
        <v>0</v>
      </c>
      <c r="Z24" s="57">
        <f t="shared" si="7"/>
        <v>0</v>
      </c>
    </row>
    <row r="25" spans="1:26">
      <c r="A25" s="145" t="s">
        <v>2</v>
      </c>
      <c r="B25" s="20"/>
      <c r="D25" s="57">
        <f t="shared" si="6"/>
        <v>0</v>
      </c>
      <c r="E25" s="57">
        <f t="shared" si="6"/>
        <v>0</v>
      </c>
      <c r="F25" s="57">
        <f t="shared" si="6"/>
        <v>0</v>
      </c>
      <c r="G25" s="57">
        <f t="shared" si="6"/>
        <v>0</v>
      </c>
      <c r="H25" s="57">
        <f t="shared" si="6"/>
        <v>0</v>
      </c>
      <c r="I25" s="57">
        <f t="shared" si="6"/>
        <v>0</v>
      </c>
      <c r="J25" s="57">
        <f t="shared" si="6"/>
        <v>0</v>
      </c>
      <c r="K25" s="57">
        <f t="shared" si="6"/>
        <v>0</v>
      </c>
      <c r="L25" s="57">
        <f t="shared" si="6"/>
        <v>0</v>
      </c>
      <c r="M25" s="57">
        <f t="shared" si="6"/>
        <v>0</v>
      </c>
      <c r="N25" s="57">
        <f t="shared" si="6"/>
        <v>0</v>
      </c>
      <c r="O25" s="57">
        <f t="shared" si="6"/>
        <v>0</v>
      </c>
      <c r="P25" s="57">
        <f t="shared" si="6"/>
        <v>0</v>
      </c>
      <c r="Q25" s="57">
        <f t="shared" si="6"/>
        <v>0</v>
      </c>
      <c r="R25" s="57">
        <f t="shared" si="6"/>
        <v>0</v>
      </c>
      <c r="S25" s="57">
        <v>0</v>
      </c>
      <c r="T25" s="57">
        <f t="shared" si="7"/>
        <v>3150</v>
      </c>
      <c r="U25" s="57">
        <f t="shared" si="7"/>
        <v>3450.0200000000004</v>
      </c>
      <c r="V25" s="57">
        <f t="shared" si="7"/>
        <v>3825.0099999999998</v>
      </c>
      <c r="W25" s="57">
        <f t="shared" si="7"/>
        <v>4200</v>
      </c>
      <c r="X25" s="57">
        <f t="shared" si="7"/>
        <v>0</v>
      </c>
      <c r="Y25" s="57">
        <f t="shared" si="7"/>
        <v>0</v>
      </c>
      <c r="Z25" s="57">
        <f t="shared" si="7"/>
        <v>0</v>
      </c>
    </row>
    <row r="26" spans="1:26">
      <c r="A26" s="145" t="s">
        <v>3</v>
      </c>
      <c r="B26" s="20"/>
      <c r="D26" s="57">
        <f t="shared" si="6"/>
        <v>0</v>
      </c>
      <c r="E26" s="57">
        <f t="shared" si="6"/>
        <v>0</v>
      </c>
      <c r="F26" s="57">
        <f t="shared" si="6"/>
        <v>0</v>
      </c>
      <c r="G26" s="57">
        <f t="shared" si="6"/>
        <v>0</v>
      </c>
      <c r="H26" s="57">
        <f t="shared" si="6"/>
        <v>0</v>
      </c>
      <c r="I26" s="57">
        <f t="shared" si="6"/>
        <v>0</v>
      </c>
      <c r="J26" s="57">
        <f t="shared" si="6"/>
        <v>0</v>
      </c>
      <c r="K26" s="57">
        <f t="shared" si="6"/>
        <v>0</v>
      </c>
      <c r="L26" s="57">
        <f t="shared" si="6"/>
        <v>0</v>
      </c>
      <c r="M26" s="57">
        <f t="shared" si="6"/>
        <v>0</v>
      </c>
      <c r="N26" s="57">
        <f t="shared" si="6"/>
        <v>0</v>
      </c>
      <c r="O26" s="57">
        <f t="shared" si="6"/>
        <v>0</v>
      </c>
      <c r="P26" s="57">
        <f t="shared" si="6"/>
        <v>0</v>
      </c>
      <c r="Q26" s="57">
        <f t="shared" si="6"/>
        <v>0</v>
      </c>
      <c r="R26" s="57">
        <f t="shared" si="6"/>
        <v>0</v>
      </c>
      <c r="S26" s="57">
        <f>+S$23*$C$51/2</f>
        <v>5749.9400000000005</v>
      </c>
      <c r="T26" s="57">
        <f t="shared" si="7"/>
        <v>3150</v>
      </c>
      <c r="U26" s="57">
        <f t="shared" si="7"/>
        <v>3450.0200000000004</v>
      </c>
      <c r="V26" s="57">
        <f t="shared" si="7"/>
        <v>3825.0099999999998</v>
      </c>
      <c r="W26" s="57">
        <f t="shared" si="7"/>
        <v>4200</v>
      </c>
      <c r="X26" s="57">
        <f t="shared" si="7"/>
        <v>0</v>
      </c>
      <c r="Y26" s="57">
        <f t="shared" si="7"/>
        <v>0</v>
      </c>
      <c r="Z26" s="57">
        <f t="shared" si="7"/>
        <v>0</v>
      </c>
    </row>
    <row r="27" spans="1:26">
      <c r="A27" s="145" t="s">
        <v>4</v>
      </c>
      <c r="B27" s="20"/>
      <c r="D27" s="57">
        <f t="shared" si="6"/>
        <v>0</v>
      </c>
      <c r="E27" s="57">
        <f t="shared" si="6"/>
        <v>0</v>
      </c>
      <c r="F27" s="57">
        <f t="shared" si="6"/>
        <v>0</v>
      </c>
      <c r="G27" s="57">
        <f t="shared" si="6"/>
        <v>0</v>
      </c>
      <c r="H27" s="57">
        <f t="shared" si="6"/>
        <v>0</v>
      </c>
      <c r="I27" s="57">
        <f t="shared" si="6"/>
        <v>0</v>
      </c>
      <c r="J27" s="57">
        <f t="shared" si="6"/>
        <v>0</v>
      </c>
      <c r="K27" s="57">
        <f t="shared" si="6"/>
        <v>0</v>
      </c>
      <c r="L27" s="57">
        <f t="shared" si="6"/>
        <v>0</v>
      </c>
      <c r="M27" s="57">
        <f t="shared" si="6"/>
        <v>0</v>
      </c>
      <c r="N27" s="57">
        <f t="shared" si="6"/>
        <v>0</v>
      </c>
      <c r="O27" s="57">
        <f t="shared" si="6"/>
        <v>0</v>
      </c>
      <c r="P27" s="57">
        <f t="shared" si="6"/>
        <v>0</v>
      </c>
      <c r="Q27" s="57">
        <f t="shared" si="6"/>
        <v>0</v>
      </c>
      <c r="R27" s="57">
        <f t="shared" si="6"/>
        <v>0</v>
      </c>
      <c r="S27" s="57">
        <f>+S$23*$C$51/2</f>
        <v>5749.9400000000005</v>
      </c>
      <c r="T27" s="57">
        <f t="shared" si="7"/>
        <v>3150</v>
      </c>
      <c r="U27" s="57">
        <f t="shared" si="7"/>
        <v>3450.0200000000004</v>
      </c>
      <c r="V27" s="57">
        <f t="shared" si="7"/>
        <v>3825.0099999999998</v>
      </c>
      <c r="W27" s="57">
        <f t="shared" si="7"/>
        <v>4200</v>
      </c>
      <c r="X27" s="57">
        <f t="shared" si="7"/>
        <v>0</v>
      </c>
      <c r="Y27" s="57">
        <f t="shared" si="7"/>
        <v>0</v>
      </c>
      <c r="Z27" s="57">
        <f t="shared" si="7"/>
        <v>0</v>
      </c>
    </row>
    <row r="28" spans="1:26">
      <c r="A28" s="145"/>
      <c r="B28" s="20"/>
      <c r="D28" s="57"/>
      <c r="E28" s="57"/>
      <c r="F28" s="57"/>
      <c r="G28" s="57"/>
      <c r="H28" s="57"/>
      <c r="I28" s="57"/>
      <c r="J28" s="57"/>
      <c r="K28" s="57"/>
      <c r="L28" s="57"/>
      <c r="M28" s="57"/>
      <c r="N28" s="57"/>
      <c r="O28" s="57"/>
      <c r="P28" s="57"/>
      <c r="Q28" s="57"/>
      <c r="R28" s="57"/>
      <c r="S28" s="57"/>
      <c r="T28" s="57"/>
      <c r="U28" s="57"/>
      <c r="V28" s="57"/>
      <c r="W28" s="57"/>
      <c r="X28" s="57"/>
      <c r="Y28" s="57"/>
      <c r="Z28" s="57"/>
    </row>
    <row r="29" spans="1:26">
      <c r="A29" s="145" t="s">
        <v>5</v>
      </c>
      <c r="B29" s="20"/>
      <c r="D29" s="57">
        <f>+$C$51</f>
        <v>70000</v>
      </c>
      <c r="E29" s="57">
        <f t="shared" ref="E29:Z29" si="8">+D32-D27</f>
        <v>70000</v>
      </c>
      <c r="F29" s="57">
        <f t="shared" si="8"/>
        <v>70000</v>
      </c>
      <c r="G29" s="57">
        <f t="shared" si="8"/>
        <v>70000</v>
      </c>
      <c r="H29" s="57">
        <f t="shared" si="8"/>
        <v>70000</v>
      </c>
      <c r="I29" s="57">
        <f t="shared" si="8"/>
        <v>70000</v>
      </c>
      <c r="J29" s="57">
        <f t="shared" si="8"/>
        <v>70000</v>
      </c>
      <c r="K29" s="57">
        <f t="shared" si="8"/>
        <v>70000</v>
      </c>
      <c r="L29" s="57">
        <f t="shared" si="8"/>
        <v>70000</v>
      </c>
      <c r="M29" s="57">
        <f t="shared" si="8"/>
        <v>70000</v>
      </c>
      <c r="N29" s="57">
        <f t="shared" si="8"/>
        <v>70000</v>
      </c>
      <c r="O29" s="57">
        <f t="shared" si="8"/>
        <v>70000</v>
      </c>
      <c r="P29" s="57">
        <f t="shared" si="8"/>
        <v>70000</v>
      </c>
      <c r="Q29" s="57">
        <f t="shared" si="8"/>
        <v>70000</v>
      </c>
      <c r="R29" s="57">
        <f t="shared" si="8"/>
        <v>70000</v>
      </c>
      <c r="S29" s="57">
        <f t="shared" si="8"/>
        <v>70000</v>
      </c>
      <c r="T29" s="57">
        <f t="shared" si="8"/>
        <v>58500.119999999995</v>
      </c>
      <c r="U29" s="57">
        <f t="shared" si="8"/>
        <v>45900.119999999995</v>
      </c>
      <c r="V29" s="57">
        <f t="shared" si="8"/>
        <v>32100.039999999983</v>
      </c>
      <c r="W29" s="57">
        <f t="shared" si="8"/>
        <v>16799.999999999989</v>
      </c>
      <c r="X29" s="57">
        <f t="shared" si="8"/>
        <v>-1.0913936421275139E-11</v>
      </c>
      <c r="Y29" s="57">
        <f t="shared" si="8"/>
        <v>-1.0913936421275139E-11</v>
      </c>
      <c r="Z29" s="57">
        <f t="shared" si="8"/>
        <v>-1.0913936421275139E-11</v>
      </c>
    </row>
    <row r="30" spans="1:26">
      <c r="A30" s="145" t="s">
        <v>6</v>
      </c>
      <c r="B30" s="20"/>
      <c r="D30" s="57">
        <f t="shared" ref="D30:M32" si="9">+D29-D24</f>
        <v>70000</v>
      </c>
      <c r="E30" s="57">
        <f t="shared" si="9"/>
        <v>70000</v>
      </c>
      <c r="F30" s="57">
        <f t="shared" si="9"/>
        <v>70000</v>
      </c>
      <c r="G30" s="57">
        <f t="shared" si="9"/>
        <v>70000</v>
      </c>
      <c r="H30" s="57">
        <f t="shared" si="9"/>
        <v>70000</v>
      </c>
      <c r="I30" s="57">
        <f t="shared" si="9"/>
        <v>70000</v>
      </c>
      <c r="J30" s="57">
        <f t="shared" si="9"/>
        <v>70000</v>
      </c>
      <c r="K30" s="57">
        <f t="shared" si="9"/>
        <v>70000</v>
      </c>
      <c r="L30" s="57">
        <f t="shared" si="9"/>
        <v>70000</v>
      </c>
      <c r="M30" s="57">
        <f t="shared" si="9"/>
        <v>70000</v>
      </c>
      <c r="N30" s="57">
        <f t="shared" ref="N30:W32" si="10">+N29-N24</f>
        <v>70000</v>
      </c>
      <c r="O30" s="57">
        <f t="shared" si="10"/>
        <v>70000</v>
      </c>
      <c r="P30" s="57">
        <f t="shared" si="10"/>
        <v>70000</v>
      </c>
      <c r="Q30" s="57">
        <f t="shared" si="10"/>
        <v>70000</v>
      </c>
      <c r="R30" s="57">
        <f t="shared" si="10"/>
        <v>70000</v>
      </c>
      <c r="S30" s="57">
        <f t="shared" si="10"/>
        <v>70000</v>
      </c>
      <c r="T30" s="57">
        <f t="shared" si="10"/>
        <v>55350.119999999995</v>
      </c>
      <c r="U30" s="57">
        <f t="shared" si="10"/>
        <v>42450.099999999991</v>
      </c>
      <c r="V30" s="57">
        <f t="shared" si="10"/>
        <v>28275.029999999984</v>
      </c>
      <c r="W30" s="57">
        <f t="shared" si="10"/>
        <v>12599.999999999989</v>
      </c>
      <c r="X30" s="57">
        <f t="shared" ref="X30:Z32" si="11">+X29-X24</f>
        <v>-1.0913936421275139E-11</v>
      </c>
      <c r="Y30" s="57">
        <f t="shared" si="11"/>
        <v>-1.0913936421275139E-11</v>
      </c>
      <c r="Z30" s="57">
        <f t="shared" si="11"/>
        <v>-1.0913936421275139E-11</v>
      </c>
    </row>
    <row r="31" spans="1:26">
      <c r="A31" s="145" t="s">
        <v>7</v>
      </c>
      <c r="B31" s="20"/>
      <c r="D31" s="57">
        <f t="shared" si="9"/>
        <v>70000</v>
      </c>
      <c r="E31" s="57">
        <f t="shared" si="9"/>
        <v>70000</v>
      </c>
      <c r="F31" s="57">
        <f t="shared" si="9"/>
        <v>70000</v>
      </c>
      <c r="G31" s="57">
        <f t="shared" si="9"/>
        <v>70000</v>
      </c>
      <c r="H31" s="57">
        <f t="shared" si="9"/>
        <v>70000</v>
      </c>
      <c r="I31" s="57">
        <f t="shared" si="9"/>
        <v>70000</v>
      </c>
      <c r="J31" s="57">
        <f t="shared" si="9"/>
        <v>70000</v>
      </c>
      <c r="K31" s="57">
        <f t="shared" si="9"/>
        <v>70000</v>
      </c>
      <c r="L31" s="57">
        <f t="shared" si="9"/>
        <v>70000</v>
      </c>
      <c r="M31" s="57">
        <f t="shared" si="9"/>
        <v>70000</v>
      </c>
      <c r="N31" s="57">
        <f t="shared" si="10"/>
        <v>70000</v>
      </c>
      <c r="O31" s="57">
        <f t="shared" si="10"/>
        <v>70000</v>
      </c>
      <c r="P31" s="57">
        <f t="shared" si="10"/>
        <v>70000</v>
      </c>
      <c r="Q31" s="57">
        <f t="shared" si="10"/>
        <v>70000</v>
      </c>
      <c r="R31" s="57">
        <f t="shared" si="10"/>
        <v>70000</v>
      </c>
      <c r="S31" s="57">
        <f t="shared" si="10"/>
        <v>70000</v>
      </c>
      <c r="T31" s="57">
        <f t="shared" si="10"/>
        <v>52200.119999999995</v>
      </c>
      <c r="U31" s="57">
        <f t="shared" si="10"/>
        <v>39000.079999999987</v>
      </c>
      <c r="V31" s="57">
        <f t="shared" si="10"/>
        <v>24450.019999999986</v>
      </c>
      <c r="W31" s="57">
        <f t="shared" si="10"/>
        <v>8399.9999999999891</v>
      </c>
      <c r="X31" s="57">
        <f t="shared" si="11"/>
        <v>-1.0913936421275139E-11</v>
      </c>
      <c r="Y31" s="57">
        <f t="shared" si="11"/>
        <v>-1.0913936421275139E-11</v>
      </c>
      <c r="Z31" s="57">
        <f t="shared" si="11"/>
        <v>-1.0913936421275139E-11</v>
      </c>
    </row>
    <row r="32" spans="1:26">
      <c r="A32" s="145" t="s">
        <v>8</v>
      </c>
      <c r="B32" s="20"/>
      <c r="D32" s="57">
        <f t="shared" si="9"/>
        <v>70000</v>
      </c>
      <c r="E32" s="57">
        <f t="shared" si="9"/>
        <v>70000</v>
      </c>
      <c r="F32" s="57">
        <f t="shared" si="9"/>
        <v>70000</v>
      </c>
      <c r="G32" s="57">
        <f t="shared" si="9"/>
        <v>70000</v>
      </c>
      <c r="H32" s="57">
        <f t="shared" si="9"/>
        <v>70000</v>
      </c>
      <c r="I32" s="57">
        <f t="shared" si="9"/>
        <v>70000</v>
      </c>
      <c r="J32" s="57">
        <f t="shared" si="9"/>
        <v>70000</v>
      </c>
      <c r="K32" s="57">
        <f t="shared" si="9"/>
        <v>70000</v>
      </c>
      <c r="L32" s="57">
        <f t="shared" si="9"/>
        <v>70000</v>
      </c>
      <c r="M32" s="57">
        <f t="shared" si="9"/>
        <v>70000</v>
      </c>
      <c r="N32" s="57">
        <f t="shared" si="10"/>
        <v>70000</v>
      </c>
      <c r="O32" s="57">
        <f t="shared" si="10"/>
        <v>70000</v>
      </c>
      <c r="P32" s="57">
        <f t="shared" si="10"/>
        <v>70000</v>
      </c>
      <c r="Q32" s="57">
        <f t="shared" si="10"/>
        <v>70000</v>
      </c>
      <c r="R32" s="57">
        <f t="shared" si="10"/>
        <v>70000</v>
      </c>
      <c r="S32" s="57">
        <f t="shared" si="10"/>
        <v>64250.06</v>
      </c>
      <c r="T32" s="57">
        <f t="shared" si="10"/>
        <v>49050.119999999995</v>
      </c>
      <c r="U32" s="57">
        <f t="shared" si="10"/>
        <v>35550.059999999983</v>
      </c>
      <c r="V32" s="57">
        <f t="shared" si="10"/>
        <v>20625.009999999987</v>
      </c>
      <c r="W32" s="57">
        <f t="shared" si="10"/>
        <v>4199.9999999999891</v>
      </c>
      <c r="X32" s="57">
        <f t="shared" si="11"/>
        <v>-1.0913936421275139E-11</v>
      </c>
      <c r="Y32" s="57">
        <f t="shared" si="11"/>
        <v>-1.0913936421275139E-11</v>
      </c>
      <c r="Z32" s="57">
        <f t="shared" si="11"/>
        <v>-1.0913936421275139E-11</v>
      </c>
    </row>
    <row r="33" spans="1:26">
      <c r="A33" s="145"/>
      <c r="B33" s="20"/>
    </row>
    <row r="34" spans="1:26">
      <c r="A34" s="147" t="s">
        <v>10</v>
      </c>
      <c r="B34" s="148"/>
      <c r="C34" s="149"/>
      <c r="D34" s="3"/>
      <c r="E34" s="3"/>
      <c r="F34" s="3"/>
      <c r="G34" s="3"/>
    </row>
    <row r="35" spans="1:26">
      <c r="A35" s="145" t="s">
        <v>5</v>
      </c>
      <c r="B35" s="150" t="s">
        <v>99</v>
      </c>
      <c r="C35" s="59">
        <v>90</v>
      </c>
      <c r="D35" s="57">
        <f t="shared" ref="D35:Z35" si="12">+D29+D17</f>
        <v>162000</v>
      </c>
      <c r="E35" s="57">
        <f t="shared" si="12"/>
        <v>161310</v>
      </c>
      <c r="F35" s="57">
        <f t="shared" si="12"/>
        <v>160160</v>
      </c>
      <c r="G35" s="57">
        <f t="shared" si="12"/>
        <v>158550</v>
      </c>
      <c r="H35" s="57">
        <f t="shared" si="12"/>
        <v>156480</v>
      </c>
      <c r="I35" s="57">
        <f t="shared" si="12"/>
        <v>153950</v>
      </c>
      <c r="J35" s="57">
        <f t="shared" si="12"/>
        <v>151420</v>
      </c>
      <c r="K35" s="57">
        <f t="shared" si="12"/>
        <v>148430</v>
      </c>
      <c r="L35" s="57">
        <f t="shared" si="12"/>
        <v>144980</v>
      </c>
      <c r="M35" s="57">
        <f t="shared" si="12"/>
        <v>141070</v>
      </c>
      <c r="N35" s="57">
        <f t="shared" si="12"/>
        <v>136700</v>
      </c>
      <c r="O35" s="57">
        <f t="shared" si="12"/>
        <v>126846.79999999999</v>
      </c>
      <c r="P35" s="57">
        <f t="shared" si="12"/>
        <v>115319.19999999998</v>
      </c>
      <c r="Q35" s="57">
        <f t="shared" si="12"/>
        <v>104582.79999999999</v>
      </c>
      <c r="R35" s="57">
        <f t="shared" si="12"/>
        <v>92263.999999999985</v>
      </c>
      <c r="S35" s="57">
        <f t="shared" si="12"/>
        <v>77957.999999999985</v>
      </c>
      <c r="T35" s="57">
        <f t="shared" si="12"/>
        <v>58500.119999999981</v>
      </c>
      <c r="U35" s="57">
        <f t="shared" si="12"/>
        <v>45900.119999999981</v>
      </c>
      <c r="V35" s="57">
        <f t="shared" si="12"/>
        <v>32100.039999999968</v>
      </c>
      <c r="W35" s="57">
        <f t="shared" si="12"/>
        <v>16799.999999999975</v>
      </c>
      <c r="X35" s="57">
        <f t="shared" si="12"/>
        <v>-2.6375346351414919E-11</v>
      </c>
      <c r="Y35" s="57">
        <f t="shared" si="12"/>
        <v>-2.6375346351414919E-11</v>
      </c>
      <c r="Z35" s="57">
        <f t="shared" si="12"/>
        <v>-2.6375346351414919E-11</v>
      </c>
    </row>
    <row r="36" spans="1:26">
      <c r="A36" s="145" t="s">
        <v>6</v>
      </c>
      <c r="B36" s="20"/>
      <c r="C36" s="59">
        <v>91</v>
      </c>
      <c r="D36" s="57">
        <f t="shared" ref="D36:Z36" si="13">+D30+D18</f>
        <v>162000</v>
      </c>
      <c r="E36" s="57">
        <f t="shared" si="13"/>
        <v>161022.5</v>
      </c>
      <c r="F36" s="57">
        <f t="shared" si="13"/>
        <v>159757.5</v>
      </c>
      <c r="G36" s="57">
        <f t="shared" si="13"/>
        <v>158032.5</v>
      </c>
      <c r="H36" s="57">
        <f t="shared" si="13"/>
        <v>155847.5</v>
      </c>
      <c r="I36" s="57">
        <f t="shared" si="13"/>
        <v>153317.5</v>
      </c>
      <c r="J36" s="57">
        <f t="shared" si="13"/>
        <v>150672.5</v>
      </c>
      <c r="K36" s="57">
        <f t="shared" si="13"/>
        <v>147567.5</v>
      </c>
      <c r="L36" s="57">
        <f t="shared" si="13"/>
        <v>144002.5</v>
      </c>
      <c r="M36" s="57">
        <f t="shared" si="13"/>
        <v>139977.5</v>
      </c>
      <c r="N36" s="57">
        <f t="shared" si="13"/>
        <v>134236.70000000001</v>
      </c>
      <c r="O36" s="57">
        <f t="shared" si="13"/>
        <v>123964.9</v>
      </c>
      <c r="P36" s="57">
        <f t="shared" si="13"/>
        <v>112635.09999999998</v>
      </c>
      <c r="Q36" s="57">
        <f t="shared" si="13"/>
        <v>101503.09999999999</v>
      </c>
      <c r="R36" s="57">
        <f t="shared" si="13"/>
        <v>88687.499999999985</v>
      </c>
      <c r="S36" s="57">
        <f t="shared" si="13"/>
        <v>73978.999999999985</v>
      </c>
      <c r="T36" s="57">
        <f t="shared" si="13"/>
        <v>55350.119999999981</v>
      </c>
      <c r="U36" s="57">
        <f t="shared" si="13"/>
        <v>42450.099999999977</v>
      </c>
      <c r="V36" s="57">
        <f t="shared" si="13"/>
        <v>28275.02999999997</v>
      </c>
      <c r="W36" s="57">
        <f t="shared" si="13"/>
        <v>12599.999999999975</v>
      </c>
      <c r="X36" s="57">
        <f t="shared" si="13"/>
        <v>-2.6375346351414919E-11</v>
      </c>
      <c r="Y36" s="57">
        <f t="shared" si="13"/>
        <v>-2.6375346351414919E-11</v>
      </c>
      <c r="Z36" s="57">
        <f t="shared" si="13"/>
        <v>-2.6375346351414919E-11</v>
      </c>
    </row>
    <row r="37" spans="1:26">
      <c r="A37" s="145" t="s">
        <v>7</v>
      </c>
      <c r="B37" s="20"/>
      <c r="C37" s="59">
        <v>92</v>
      </c>
      <c r="D37" s="57">
        <f t="shared" ref="D37:Z37" si="14">+D31+D19</f>
        <v>162000</v>
      </c>
      <c r="E37" s="57">
        <f t="shared" si="14"/>
        <v>160735</v>
      </c>
      <c r="F37" s="57">
        <f t="shared" si="14"/>
        <v>159355</v>
      </c>
      <c r="G37" s="57">
        <f t="shared" si="14"/>
        <v>157515</v>
      </c>
      <c r="H37" s="57">
        <f t="shared" si="14"/>
        <v>155215</v>
      </c>
      <c r="I37" s="57">
        <f t="shared" si="14"/>
        <v>152685</v>
      </c>
      <c r="J37" s="57">
        <f t="shared" si="14"/>
        <v>149925</v>
      </c>
      <c r="K37" s="57">
        <f t="shared" si="14"/>
        <v>146705</v>
      </c>
      <c r="L37" s="57">
        <f t="shared" si="14"/>
        <v>143025</v>
      </c>
      <c r="M37" s="57">
        <f t="shared" si="14"/>
        <v>138885</v>
      </c>
      <c r="N37" s="57">
        <f t="shared" si="14"/>
        <v>131773.4</v>
      </c>
      <c r="O37" s="57">
        <f t="shared" si="14"/>
        <v>121082.99999999999</v>
      </c>
      <c r="P37" s="57">
        <f t="shared" si="14"/>
        <v>109950.99999999999</v>
      </c>
      <c r="Q37" s="57">
        <f t="shared" si="14"/>
        <v>98423.4</v>
      </c>
      <c r="R37" s="57">
        <f t="shared" si="14"/>
        <v>85110.999999999985</v>
      </c>
      <c r="S37" s="57">
        <f t="shared" si="14"/>
        <v>69999.999999999985</v>
      </c>
      <c r="T37" s="57">
        <f t="shared" si="14"/>
        <v>52200.119999999981</v>
      </c>
      <c r="U37" s="57">
        <f t="shared" si="14"/>
        <v>39000.079999999973</v>
      </c>
      <c r="V37" s="57">
        <f t="shared" si="14"/>
        <v>24450.019999999971</v>
      </c>
      <c r="W37" s="57">
        <f t="shared" si="14"/>
        <v>8399.9999999999745</v>
      </c>
      <c r="X37" s="57">
        <f t="shared" si="14"/>
        <v>-2.6375346351414919E-11</v>
      </c>
      <c r="Y37" s="57">
        <f t="shared" si="14"/>
        <v>-2.6375346351414919E-11</v>
      </c>
      <c r="Z37" s="57">
        <f t="shared" si="14"/>
        <v>-2.6375346351414919E-11</v>
      </c>
    </row>
    <row r="38" spans="1:26">
      <c r="A38" s="145" t="s">
        <v>8</v>
      </c>
      <c r="B38" s="20"/>
      <c r="C38" s="60">
        <v>92</v>
      </c>
      <c r="D38" s="57">
        <f t="shared" ref="D38:Z38" si="15">+D32+D20</f>
        <v>161655</v>
      </c>
      <c r="E38" s="57">
        <f t="shared" si="15"/>
        <v>160447.5</v>
      </c>
      <c r="F38" s="57">
        <f t="shared" si="15"/>
        <v>158952.5</v>
      </c>
      <c r="G38" s="57">
        <f t="shared" si="15"/>
        <v>156997.5</v>
      </c>
      <c r="H38" s="57">
        <f t="shared" si="15"/>
        <v>154582.5</v>
      </c>
      <c r="I38" s="57">
        <f t="shared" si="15"/>
        <v>152052.5</v>
      </c>
      <c r="J38" s="57">
        <f t="shared" si="15"/>
        <v>149177.5</v>
      </c>
      <c r="K38" s="57">
        <f t="shared" si="15"/>
        <v>145842.5</v>
      </c>
      <c r="L38" s="57">
        <f t="shared" si="15"/>
        <v>142047.5</v>
      </c>
      <c r="M38" s="57">
        <f t="shared" si="15"/>
        <v>137792.5</v>
      </c>
      <c r="N38" s="57">
        <f t="shared" si="15"/>
        <v>129310.09999999999</v>
      </c>
      <c r="O38" s="57">
        <f t="shared" si="15"/>
        <v>118201.09999999998</v>
      </c>
      <c r="P38" s="57">
        <f t="shared" si="15"/>
        <v>107266.9</v>
      </c>
      <c r="Q38" s="57">
        <f t="shared" si="15"/>
        <v>95343.699999999983</v>
      </c>
      <c r="R38" s="57">
        <f t="shared" si="15"/>
        <v>81534.499999999985</v>
      </c>
      <c r="S38" s="57">
        <f t="shared" si="15"/>
        <v>64250.059999999983</v>
      </c>
      <c r="T38" s="57">
        <f t="shared" si="15"/>
        <v>49050.119999999981</v>
      </c>
      <c r="U38" s="57">
        <f t="shared" si="15"/>
        <v>35550.059999999969</v>
      </c>
      <c r="V38" s="57">
        <f t="shared" si="15"/>
        <v>20625.009999999973</v>
      </c>
      <c r="W38" s="57">
        <f t="shared" si="15"/>
        <v>4199.9999999999736</v>
      </c>
      <c r="X38" s="57">
        <f t="shared" si="15"/>
        <v>-2.6375346351414919E-11</v>
      </c>
      <c r="Y38" s="57">
        <f t="shared" si="15"/>
        <v>-2.6375346351414919E-11</v>
      </c>
      <c r="Z38" s="57">
        <f t="shared" si="15"/>
        <v>-2.6375346351414919E-11</v>
      </c>
    </row>
    <row r="39" spans="1:26">
      <c r="A39" s="145"/>
      <c r="B39" s="20"/>
      <c r="C39" s="59">
        <f>SUM(C35:C38)</f>
        <v>365</v>
      </c>
      <c r="D39" s="57"/>
      <c r="E39" s="57"/>
      <c r="F39" s="57"/>
      <c r="G39" s="57"/>
      <c r="H39" s="57"/>
      <c r="I39" s="57"/>
      <c r="J39" s="57"/>
      <c r="K39" s="57"/>
      <c r="L39" s="57"/>
      <c r="M39" s="57"/>
      <c r="N39" s="57"/>
      <c r="O39" s="57"/>
      <c r="P39" s="57"/>
      <c r="Q39" s="57"/>
      <c r="R39" s="57"/>
      <c r="S39" s="57"/>
      <c r="T39" s="57"/>
      <c r="U39" s="57"/>
      <c r="V39" s="57"/>
      <c r="W39" s="57"/>
      <c r="X39" s="57"/>
      <c r="Y39" s="57"/>
      <c r="Z39" s="57"/>
    </row>
    <row r="40" spans="1:26">
      <c r="A40" s="145"/>
      <c r="B40" s="20"/>
      <c r="D40" s="57"/>
      <c r="E40" s="57"/>
      <c r="F40" s="57"/>
      <c r="G40" s="57"/>
      <c r="H40" s="57"/>
      <c r="I40" s="57"/>
      <c r="J40" s="57"/>
      <c r="K40" s="57"/>
      <c r="L40" s="57"/>
      <c r="M40" s="57"/>
      <c r="N40" s="57"/>
      <c r="O40" s="57"/>
      <c r="P40" s="57"/>
      <c r="Q40" s="57"/>
      <c r="R40" s="57"/>
      <c r="S40" s="57"/>
      <c r="T40" s="57"/>
      <c r="U40" s="57"/>
      <c r="V40" s="57"/>
      <c r="W40" s="57"/>
      <c r="X40" s="57"/>
      <c r="Y40" s="57"/>
      <c r="Z40" s="57"/>
    </row>
    <row r="41" spans="1:26">
      <c r="A41" s="146" t="s">
        <v>66</v>
      </c>
      <c r="B41" s="62"/>
      <c r="D41" s="57">
        <f t="shared" ref="D41:Z41" si="16">+SUMPRODUCT($C$35:$C$38,D35:D38)/$C$39</f>
        <v>161913.04109589042</v>
      </c>
      <c r="E41" s="57">
        <f t="shared" si="16"/>
        <v>160875.99315068492</v>
      </c>
      <c r="F41" s="57">
        <f t="shared" si="16"/>
        <v>159552.39041095891</v>
      </c>
      <c r="G41" s="57">
        <f t="shared" si="16"/>
        <v>157768.78767123289</v>
      </c>
      <c r="H41" s="57">
        <f t="shared" si="16"/>
        <v>155525.18493150684</v>
      </c>
      <c r="I41" s="57">
        <f t="shared" si="16"/>
        <v>152995.18493150684</v>
      </c>
      <c r="J41" s="57">
        <f t="shared" si="16"/>
        <v>150291.58219178082</v>
      </c>
      <c r="K41" s="57">
        <f t="shared" si="16"/>
        <v>147127.9794520548</v>
      </c>
      <c r="L41" s="57">
        <f t="shared" si="16"/>
        <v>143504.37671232875</v>
      </c>
      <c r="M41" s="57">
        <f t="shared" si="16"/>
        <v>139420.77397260274</v>
      </c>
      <c r="N41" s="57">
        <f t="shared" si="16"/>
        <v>132981.4293150685</v>
      </c>
      <c r="O41" s="57">
        <f t="shared" si="16"/>
        <v>122496.31534246574</v>
      </c>
      <c r="P41" s="57">
        <f t="shared" si="16"/>
        <v>111267.3120547945</v>
      </c>
      <c r="Q41" s="57">
        <f t="shared" si="16"/>
        <v>99933.71863013698</v>
      </c>
      <c r="R41" s="57">
        <f t="shared" si="16"/>
        <v>86864.954794520541</v>
      </c>
      <c r="S41" s="57">
        <f t="shared" si="16"/>
        <v>71504.971287671215</v>
      </c>
      <c r="T41" s="57">
        <f t="shared" si="16"/>
        <v>53744.914520547929</v>
      </c>
      <c r="U41" s="57">
        <f t="shared" si="16"/>
        <v>40692.007616438335</v>
      </c>
      <c r="V41" s="57">
        <f t="shared" si="16"/>
        <v>26325.846821917781</v>
      </c>
      <c r="W41" s="57">
        <f t="shared" si="16"/>
        <v>10459.726027397235</v>
      </c>
      <c r="X41" s="57">
        <f t="shared" si="16"/>
        <v>-2.6375346351414919E-11</v>
      </c>
      <c r="Y41" s="57">
        <f t="shared" si="16"/>
        <v>-2.6375346351414919E-11</v>
      </c>
      <c r="Z41" s="57">
        <f t="shared" si="16"/>
        <v>-2.6375346351414919E-11</v>
      </c>
    </row>
    <row r="42" spans="1:26">
      <c r="A42" s="145"/>
      <c r="B42" s="20"/>
    </row>
    <row r="43" spans="1:26">
      <c r="A43" s="147" t="s">
        <v>13</v>
      </c>
      <c r="B43" s="148"/>
      <c r="C43" s="149"/>
    </row>
    <row r="44" spans="1:26" s="11" customFormat="1">
      <c r="A44" s="146" t="s">
        <v>65</v>
      </c>
      <c r="B44" s="62"/>
      <c r="C44" s="11" t="s">
        <v>25</v>
      </c>
      <c r="D44" s="16">
        <f t="shared" ref="D44:Z44" si="17">+D41/$C$54*$C$55*($C$52-$C$53)</f>
        <v>1.1960763712899549</v>
      </c>
      <c r="E44" s="16">
        <f t="shared" si="17"/>
        <v>1.1884155396808413</v>
      </c>
      <c r="F44" s="16">
        <f t="shared" si="17"/>
        <v>1.1786378840253999</v>
      </c>
      <c r="G44" s="16">
        <f t="shared" si="17"/>
        <v>1.165462138092181</v>
      </c>
      <c r="H44" s="16">
        <f t="shared" si="17"/>
        <v>1.1488883018811837</v>
      </c>
      <c r="I44" s="16">
        <f t="shared" si="17"/>
        <v>1.1301988053534062</v>
      </c>
      <c r="J44" s="16">
        <f t="shared" si="17"/>
        <v>1.1102268788646312</v>
      </c>
      <c r="K44" s="16">
        <f t="shared" si="17"/>
        <v>1.086856862098079</v>
      </c>
      <c r="L44" s="16">
        <f t="shared" si="17"/>
        <v>1.0600887550537486</v>
      </c>
      <c r="M44" s="16">
        <f t="shared" si="17"/>
        <v>1.0299225577316404</v>
      </c>
      <c r="N44" s="16">
        <f t="shared" si="17"/>
        <v>0.98235413495766777</v>
      </c>
      <c r="O44" s="16">
        <f t="shared" si="17"/>
        <v>0.90489899614963876</v>
      </c>
      <c r="P44" s="16">
        <f t="shared" si="17"/>
        <v>0.82194863332144241</v>
      </c>
      <c r="Q44" s="16">
        <f t="shared" si="17"/>
        <v>0.73822564717227956</v>
      </c>
      <c r="R44" s="16">
        <f t="shared" si="17"/>
        <v>0.64168469210188384</v>
      </c>
      <c r="S44" s="16">
        <f t="shared" si="17"/>
        <v>0.52821814727264094</v>
      </c>
      <c r="T44" s="16">
        <f t="shared" si="17"/>
        <v>0.39702189459189502</v>
      </c>
      <c r="U44" s="16">
        <f t="shared" si="17"/>
        <v>0.3005980770971271</v>
      </c>
      <c r="V44" s="16">
        <f t="shared" si="17"/>
        <v>0.19447305247788232</v>
      </c>
      <c r="W44" s="16">
        <f t="shared" si="17"/>
        <v>7.7267594178082044E-2</v>
      </c>
      <c r="X44" s="16">
        <f t="shared" si="17"/>
        <v>-1.9483871306470579E-16</v>
      </c>
      <c r="Y44" s="16">
        <f t="shared" si="17"/>
        <v>-1.9483871306470579E-16</v>
      </c>
      <c r="Z44" s="16">
        <f t="shared" si="17"/>
        <v>-1.9483871306470579E-16</v>
      </c>
    </row>
    <row r="45" spans="1:26" s="11" customFormat="1">
      <c r="A45" s="146" t="s">
        <v>100</v>
      </c>
      <c r="B45" s="62"/>
      <c r="C45" s="11" t="s">
        <v>25</v>
      </c>
      <c r="D45" s="87">
        <v>1.2</v>
      </c>
      <c r="E45" s="87">
        <v>1.19</v>
      </c>
      <c r="F45" s="87">
        <v>1.18</v>
      </c>
      <c r="G45" s="87">
        <v>1.17</v>
      </c>
      <c r="H45" s="87">
        <v>1.1499999999999999</v>
      </c>
      <c r="I45" s="87">
        <v>1.1299999999999999</v>
      </c>
      <c r="J45" s="87">
        <v>1.1100000000000001</v>
      </c>
      <c r="K45" s="87">
        <v>1.0900000000000001</v>
      </c>
      <c r="L45" s="87">
        <v>1.06</v>
      </c>
      <c r="M45" s="87">
        <v>1.03</v>
      </c>
      <c r="N45" s="87">
        <v>0.98</v>
      </c>
      <c r="O45" s="87">
        <v>0.9</v>
      </c>
      <c r="P45" s="87">
        <v>0.82</v>
      </c>
      <c r="Q45" s="87">
        <v>0.74</v>
      </c>
      <c r="R45" s="87">
        <v>0.64</v>
      </c>
      <c r="S45" s="87">
        <v>0.53</v>
      </c>
      <c r="T45" s="87">
        <v>0.4</v>
      </c>
      <c r="U45" s="87">
        <v>0.3</v>
      </c>
      <c r="V45" s="87">
        <v>0.19</v>
      </c>
      <c r="W45" s="87">
        <v>0.08</v>
      </c>
      <c r="X45" s="87">
        <v>0</v>
      </c>
      <c r="Y45" s="87">
        <v>0</v>
      </c>
      <c r="Z45" s="87">
        <v>0</v>
      </c>
    </row>
    <row r="46" spans="1:26" s="11" customFormat="1">
      <c r="A46" s="146" t="s">
        <v>63</v>
      </c>
      <c r="B46" s="62"/>
      <c r="D46" s="16">
        <f t="shared" ref="D46:Z46" si="18">+D44-D45</f>
        <v>-3.9236287100450351E-3</v>
      </c>
      <c r="E46" s="16">
        <f t="shared" si="18"/>
        <v>-1.5844603191585982E-3</v>
      </c>
      <c r="F46" s="16">
        <f t="shared" si="18"/>
        <v>-1.3621159746000089E-3</v>
      </c>
      <c r="G46" s="16">
        <f t="shared" si="18"/>
        <v>-4.5378619078189075E-3</v>
      </c>
      <c r="H46" s="16">
        <f t="shared" si="18"/>
        <v>-1.1116981188161734E-3</v>
      </c>
      <c r="I46" s="16">
        <f t="shared" si="18"/>
        <v>1.9880535340632832E-4</v>
      </c>
      <c r="J46" s="16">
        <f t="shared" si="18"/>
        <v>2.2687886463113038E-4</v>
      </c>
      <c r="K46" s="16">
        <f t="shared" si="18"/>
        <v>-3.1431379019211114E-3</v>
      </c>
      <c r="L46" s="16">
        <f t="shared" si="18"/>
        <v>8.8755053748501567E-5</v>
      </c>
      <c r="M46" s="16">
        <f t="shared" si="18"/>
        <v>-7.7442268359595445E-5</v>
      </c>
      <c r="N46" s="16">
        <f t="shared" si="18"/>
        <v>2.3541349576677861E-3</v>
      </c>
      <c r="O46" s="16">
        <f t="shared" si="18"/>
        <v>4.8989961496387346E-3</v>
      </c>
      <c r="P46" s="16">
        <f t="shared" si="18"/>
        <v>1.9486333214424612E-3</v>
      </c>
      <c r="Q46" s="16">
        <f t="shared" si="18"/>
        <v>-1.7743528277204268E-3</v>
      </c>
      <c r="R46" s="16">
        <f t="shared" si="18"/>
        <v>1.6846921018838223E-3</v>
      </c>
      <c r="S46" s="16">
        <f t="shared" si="18"/>
        <v>-1.7818527273590901E-3</v>
      </c>
      <c r="T46" s="16">
        <f t="shared" si="18"/>
        <v>-2.9781054081050029E-3</v>
      </c>
      <c r="U46" s="16">
        <f t="shared" si="18"/>
        <v>5.9807709712711432E-4</v>
      </c>
      <c r="V46" s="16">
        <f t="shared" si="18"/>
        <v>4.4730524778823222E-3</v>
      </c>
      <c r="W46" s="16">
        <f t="shared" si="18"/>
        <v>-2.7324058219179576E-3</v>
      </c>
      <c r="X46" s="16">
        <f t="shared" si="18"/>
        <v>-1.9483871306470579E-16</v>
      </c>
      <c r="Y46" s="16">
        <f t="shared" si="18"/>
        <v>-1.9483871306470579E-16</v>
      </c>
      <c r="Z46" s="16">
        <f t="shared" si="18"/>
        <v>-1.9483871306470579E-16</v>
      </c>
    </row>
    <row r="47" spans="1:26">
      <c r="A47" s="20"/>
      <c r="B47" s="20"/>
    </row>
    <row r="48" spans="1:26" ht="13.5" thickBot="1">
      <c r="A48" s="20"/>
      <c r="B48" s="20"/>
    </row>
    <row r="49" spans="1:16" s="9" customFormat="1" ht="13.5" thickBot="1">
      <c r="A49" s="252" t="s">
        <v>67</v>
      </c>
      <c r="B49" s="253"/>
      <c r="C49" s="254"/>
      <c r="E49"/>
      <c r="F49"/>
      <c r="G49"/>
      <c r="H49"/>
      <c r="I49"/>
      <c r="J49"/>
      <c r="K49"/>
      <c r="L49"/>
      <c r="M49"/>
      <c r="N49"/>
      <c r="O49"/>
      <c r="P49"/>
    </row>
    <row r="50" spans="1:16" s="9" customFormat="1">
      <c r="A50" s="77" t="s">
        <v>14</v>
      </c>
      <c r="B50" s="115"/>
      <c r="C50" s="116">
        <v>92000</v>
      </c>
      <c r="E50"/>
      <c r="F50"/>
      <c r="G50"/>
      <c r="H50"/>
      <c r="I50"/>
      <c r="J50"/>
      <c r="K50"/>
      <c r="L50"/>
      <c r="M50"/>
      <c r="N50"/>
      <c r="O50"/>
      <c r="P50"/>
    </row>
    <row r="51" spans="1:16" s="9" customFormat="1">
      <c r="A51" s="79" t="s">
        <v>15</v>
      </c>
      <c r="B51" s="12"/>
      <c r="C51" s="117">
        <v>70000</v>
      </c>
      <c r="E51"/>
      <c r="F51"/>
      <c r="G51"/>
      <c r="H51"/>
      <c r="I51"/>
      <c r="J51"/>
      <c r="K51"/>
      <c r="L51"/>
      <c r="M51"/>
      <c r="N51"/>
      <c r="O51"/>
      <c r="P51"/>
    </row>
    <row r="52" spans="1:16" s="9" customFormat="1">
      <c r="A52" s="79" t="s">
        <v>12</v>
      </c>
      <c r="B52" s="12"/>
      <c r="C52" s="118">
        <v>7.8020000000000006E-2</v>
      </c>
      <c r="E52"/>
      <c r="F52"/>
      <c r="G52"/>
      <c r="H52"/>
      <c r="I52"/>
      <c r="J52"/>
      <c r="K52"/>
      <c r="L52"/>
      <c r="M52"/>
      <c r="N52"/>
      <c r="O52"/>
      <c r="P52"/>
    </row>
    <row r="53" spans="1:16" s="9" customFormat="1">
      <c r="A53" s="79" t="s">
        <v>11</v>
      </c>
      <c r="B53" s="12"/>
      <c r="C53" s="118">
        <v>6.0999999999999999E-2</v>
      </c>
      <c r="E53"/>
      <c r="F53"/>
      <c r="G53"/>
      <c r="H53"/>
      <c r="I53"/>
      <c r="J53"/>
      <c r="K53"/>
      <c r="L53"/>
      <c r="M53"/>
      <c r="N53"/>
      <c r="O53"/>
      <c r="P53"/>
    </row>
    <row r="54" spans="1:16" s="9" customFormat="1">
      <c r="A54" s="79" t="s">
        <v>77</v>
      </c>
      <c r="B54" s="104">
        <v>240</v>
      </c>
      <c r="C54" s="82">
        <f>+B54*12</f>
        <v>2880</v>
      </c>
      <c r="E54"/>
      <c r="F54"/>
      <c r="G54"/>
      <c r="H54"/>
      <c r="I54"/>
      <c r="J54"/>
      <c r="K54"/>
      <c r="L54"/>
      <c r="M54"/>
      <c r="N54"/>
      <c r="O54"/>
      <c r="P54"/>
    </row>
    <row r="55" spans="1:16" s="9" customFormat="1" ht="13.5" thickBot="1">
      <c r="A55" s="80" t="s">
        <v>76</v>
      </c>
      <c r="B55" s="119"/>
      <c r="C55" s="120">
        <v>1.25</v>
      </c>
      <c r="E55"/>
      <c r="F55"/>
      <c r="G55"/>
      <c r="H55"/>
      <c r="I55"/>
      <c r="J55"/>
      <c r="K55"/>
      <c r="L55"/>
      <c r="M55"/>
      <c r="N55"/>
      <c r="O55"/>
      <c r="P55"/>
    </row>
    <row r="56" spans="1:16">
      <c r="A56" s="20"/>
      <c r="B56" s="20"/>
    </row>
  </sheetData>
  <mergeCells count="5">
    <mergeCell ref="A49:C49"/>
    <mergeCell ref="A1:Z1"/>
    <mergeCell ref="A2:Z2"/>
    <mergeCell ref="A5:Z5"/>
    <mergeCell ref="A3:Z3"/>
  </mergeCells>
  <phoneticPr fontId="24" type="noConversion"/>
  <printOptions horizontalCentered="1"/>
  <pageMargins left="0.25" right="0.25" top="0.25" bottom="0.25" header="0.5" footer="0.5"/>
  <pageSetup paperSize="150" scale="63" orientation="landscape" r:id="rId1"/>
  <headerFooter alignWithMargins="0">
    <oddFooter>&amp;L&amp;F, &amp;A&amp;R&amp;D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Z56"/>
  <sheetViews>
    <sheetView showGridLines="0" zoomScale="75" workbookViewId="0">
      <selection activeCell="A3" sqref="A3:Z3"/>
    </sheetView>
  </sheetViews>
  <sheetFormatPr defaultRowHeight="12.75"/>
  <cols>
    <col min="1" max="1" width="29.5703125" customWidth="1"/>
    <col min="2" max="3" width="11.28515625" customWidth="1"/>
    <col min="4" max="26" width="9.7109375" customWidth="1"/>
  </cols>
  <sheetData>
    <row r="1" spans="1:26" ht="22.5">
      <c r="A1" s="240" t="s">
        <v>95</v>
      </c>
      <c r="B1" s="240"/>
      <c r="C1" s="240"/>
      <c r="D1" s="240"/>
      <c r="E1" s="240"/>
      <c r="F1" s="240"/>
      <c r="G1" s="240"/>
      <c r="H1" s="240"/>
      <c r="I1" s="240"/>
      <c r="J1" s="240"/>
      <c r="K1" s="240"/>
      <c r="L1" s="240"/>
      <c r="M1" s="240"/>
      <c r="N1" s="240"/>
      <c r="O1" s="240"/>
      <c r="P1" s="240"/>
      <c r="Q1" s="240"/>
      <c r="R1" s="240"/>
      <c r="S1" s="240"/>
      <c r="T1" s="240"/>
      <c r="U1" s="240"/>
      <c r="V1" s="240"/>
      <c r="W1" s="240"/>
      <c r="X1" s="240"/>
      <c r="Y1" s="240"/>
      <c r="Z1" s="240"/>
    </row>
    <row r="2" spans="1:26" ht="16.5" customHeight="1">
      <c r="A2" s="233" t="s">
        <v>92</v>
      </c>
      <c r="B2" s="233"/>
      <c r="C2" s="233"/>
      <c r="D2" s="233"/>
      <c r="E2" s="233"/>
      <c r="F2" s="233"/>
      <c r="G2" s="233"/>
      <c r="H2" s="233"/>
      <c r="I2" s="233"/>
      <c r="J2" s="233"/>
      <c r="K2" s="233"/>
      <c r="L2" s="233"/>
      <c r="M2" s="233"/>
      <c r="N2" s="233"/>
      <c r="O2" s="233"/>
      <c r="P2" s="233"/>
      <c r="Q2" s="233"/>
      <c r="R2" s="233"/>
      <c r="S2" s="233"/>
      <c r="T2" s="233"/>
      <c r="U2" s="233"/>
      <c r="V2" s="233"/>
      <c r="W2" s="233"/>
      <c r="X2" s="233"/>
      <c r="Y2" s="233"/>
      <c r="Z2" s="233"/>
    </row>
    <row r="3" spans="1:26" ht="16.5" customHeight="1">
      <c r="A3" s="233"/>
      <c r="B3" s="233"/>
      <c r="C3" s="233"/>
      <c r="D3" s="233"/>
      <c r="E3" s="233"/>
      <c r="F3" s="233"/>
      <c r="G3" s="233"/>
      <c r="H3" s="233"/>
      <c r="I3" s="233"/>
      <c r="J3" s="233"/>
      <c r="K3" s="233"/>
      <c r="L3" s="233"/>
      <c r="M3" s="233"/>
      <c r="N3" s="233"/>
      <c r="O3" s="233"/>
      <c r="P3" s="233"/>
      <c r="Q3" s="233"/>
      <c r="R3" s="233"/>
      <c r="S3" s="233"/>
      <c r="T3" s="233"/>
      <c r="U3" s="233"/>
      <c r="V3" s="233"/>
      <c r="W3" s="233"/>
      <c r="X3" s="233"/>
      <c r="Y3" s="233"/>
      <c r="Z3" s="233"/>
    </row>
    <row r="4" spans="1:26" ht="15.75">
      <c r="A4" s="56"/>
      <c r="B4" s="56"/>
      <c r="C4" s="56"/>
      <c r="D4" s="56"/>
      <c r="E4" s="56"/>
      <c r="F4" s="56"/>
      <c r="G4" s="56"/>
      <c r="H4" s="56"/>
      <c r="I4" s="56"/>
      <c r="J4" s="56"/>
      <c r="K4" s="56"/>
      <c r="L4" s="56"/>
      <c r="M4" s="56"/>
      <c r="N4" s="56"/>
      <c r="O4" s="56"/>
      <c r="P4" s="56"/>
      <c r="Q4" s="56"/>
      <c r="R4" s="56"/>
      <c r="S4" s="56"/>
      <c r="T4" s="56"/>
      <c r="U4" s="56"/>
      <c r="V4" s="56"/>
      <c r="W4" s="56"/>
      <c r="X4" s="56"/>
      <c r="Y4" s="56"/>
      <c r="Z4" s="56"/>
    </row>
    <row r="5" spans="1:26" ht="16.5" customHeight="1">
      <c r="A5" s="241" t="s">
        <v>34</v>
      </c>
      <c r="B5" s="241"/>
      <c r="C5" s="241"/>
      <c r="D5" s="241"/>
      <c r="E5" s="241"/>
      <c r="F5" s="241"/>
      <c r="G5" s="241"/>
      <c r="H5" s="241"/>
      <c r="I5" s="241"/>
      <c r="J5" s="241"/>
      <c r="K5" s="241"/>
      <c r="L5" s="241"/>
      <c r="M5" s="241"/>
      <c r="N5" s="241"/>
      <c r="O5" s="241"/>
      <c r="P5" s="241"/>
      <c r="Q5" s="241"/>
      <c r="R5" s="241"/>
      <c r="S5" s="241"/>
      <c r="T5" s="241"/>
      <c r="U5" s="241"/>
      <c r="V5" s="241"/>
      <c r="W5" s="241"/>
      <c r="X5" s="241"/>
      <c r="Y5" s="241"/>
      <c r="Z5" s="241"/>
    </row>
    <row r="8" spans="1:26" s="1" customFormat="1">
      <c r="D8" s="151">
        <v>1997</v>
      </c>
      <c r="E8" s="152">
        <v>1998</v>
      </c>
      <c r="F8" s="152">
        <v>1999</v>
      </c>
      <c r="G8" s="152">
        <v>2000</v>
      </c>
      <c r="H8" s="152">
        <v>2001</v>
      </c>
      <c r="I8" s="152">
        <v>2002</v>
      </c>
      <c r="J8" s="152">
        <v>2003</v>
      </c>
      <c r="K8" s="152">
        <v>2004</v>
      </c>
      <c r="L8" s="152">
        <v>2005</v>
      </c>
      <c r="M8" s="152">
        <v>2006</v>
      </c>
      <c r="N8" s="152">
        <v>2007</v>
      </c>
      <c r="O8" s="152">
        <v>2008</v>
      </c>
      <c r="P8" s="152">
        <v>2009</v>
      </c>
      <c r="Q8" s="152">
        <v>2010</v>
      </c>
      <c r="R8" s="152">
        <v>2011</v>
      </c>
      <c r="S8" s="152">
        <v>2012</v>
      </c>
      <c r="T8" s="152">
        <v>2013</v>
      </c>
      <c r="U8" s="152">
        <v>2014</v>
      </c>
      <c r="V8" s="152">
        <v>2015</v>
      </c>
      <c r="W8" s="152">
        <v>2016</v>
      </c>
      <c r="X8" s="152">
        <v>2017</v>
      </c>
      <c r="Y8" s="152">
        <v>2018</v>
      </c>
      <c r="Z8" s="153">
        <v>2019</v>
      </c>
    </row>
    <row r="9" spans="1:26" s="1" customFormat="1"/>
    <row r="10" spans="1:26">
      <c r="A10" s="147" t="s">
        <v>64</v>
      </c>
      <c r="B10" s="148"/>
      <c r="C10" s="149"/>
    </row>
    <row r="11" spans="1:26" s="5" customFormat="1">
      <c r="A11" s="144" t="s">
        <v>0</v>
      </c>
      <c r="B11" s="61"/>
      <c r="D11" s="105">
        <f>0.00375+0.00375</f>
        <v>7.4999999999999997E-3</v>
      </c>
      <c r="E11" s="105">
        <f>0.003125*4</f>
        <v>1.2500000000000001E-2</v>
      </c>
      <c r="F11" s="105">
        <f>0.004375*4</f>
        <v>1.7500000000000002E-2</v>
      </c>
      <c r="G11" s="105">
        <v>2.2499999999999999E-2</v>
      </c>
      <c r="H11" s="105">
        <v>2.75E-2</v>
      </c>
      <c r="I11" s="105">
        <v>2.75E-2</v>
      </c>
      <c r="J11" s="105">
        <v>3.2500000000000001E-2</v>
      </c>
      <c r="K11" s="105">
        <v>3.7499999999999999E-2</v>
      </c>
      <c r="L11" s="105">
        <v>4.2500000000000003E-2</v>
      </c>
      <c r="M11" s="105">
        <v>4.7500000000000001E-2</v>
      </c>
      <c r="N11" s="105">
        <v>0.1071</v>
      </c>
      <c r="O11" s="105">
        <v>0.12529999999999999</v>
      </c>
      <c r="P11" s="105">
        <v>0.1167</v>
      </c>
      <c r="Q11" s="105">
        <v>0.13389999999999999</v>
      </c>
      <c r="R11" s="105">
        <v>0.1555</v>
      </c>
      <c r="S11" s="105">
        <v>8.6500000000000007E-2</v>
      </c>
      <c r="T11" s="105">
        <v>0</v>
      </c>
      <c r="U11" s="105">
        <v>0</v>
      </c>
      <c r="V11" s="105">
        <v>0</v>
      </c>
      <c r="W11" s="105">
        <v>0</v>
      </c>
      <c r="X11" s="105">
        <v>0</v>
      </c>
      <c r="Y11" s="105">
        <v>0</v>
      </c>
      <c r="Z11" s="105">
        <v>0</v>
      </c>
    </row>
    <row r="12" spans="1:26">
      <c r="A12" s="145" t="s">
        <v>1</v>
      </c>
      <c r="B12" s="20"/>
      <c r="D12" s="114">
        <v>0</v>
      </c>
      <c r="E12" s="114">
        <f t="shared" ref="E12:R15" si="0">+E$11*$C$50/4</f>
        <v>250.9375</v>
      </c>
      <c r="F12" s="114">
        <f t="shared" si="0"/>
        <v>351.31250000000006</v>
      </c>
      <c r="G12" s="114">
        <f t="shared" si="0"/>
        <v>451.6875</v>
      </c>
      <c r="H12" s="114">
        <f t="shared" si="0"/>
        <v>552.0625</v>
      </c>
      <c r="I12" s="114">
        <f t="shared" si="0"/>
        <v>552.0625</v>
      </c>
      <c r="J12" s="114">
        <f t="shared" si="0"/>
        <v>652.4375</v>
      </c>
      <c r="K12" s="114">
        <f t="shared" si="0"/>
        <v>752.8125</v>
      </c>
      <c r="L12" s="114">
        <f t="shared" si="0"/>
        <v>853.18750000000011</v>
      </c>
      <c r="M12" s="114">
        <f t="shared" si="0"/>
        <v>953.5625</v>
      </c>
      <c r="N12" s="114">
        <f t="shared" si="0"/>
        <v>2150.0324999999998</v>
      </c>
      <c r="O12" s="114">
        <f t="shared" si="0"/>
        <v>2515.3975</v>
      </c>
      <c r="P12" s="114">
        <f t="shared" si="0"/>
        <v>2342.7525000000001</v>
      </c>
      <c r="Q12" s="114">
        <f t="shared" si="0"/>
        <v>2688.0425</v>
      </c>
      <c r="R12" s="114">
        <f t="shared" si="0"/>
        <v>3121.6624999999999</v>
      </c>
      <c r="S12" s="114">
        <f>+S$11*$C$50/2</f>
        <v>3472.9750000000004</v>
      </c>
      <c r="T12" s="114">
        <f t="shared" ref="T12:Z15" si="1">+T$11*$C$50/4</f>
        <v>0</v>
      </c>
      <c r="U12" s="114">
        <f t="shared" si="1"/>
        <v>0</v>
      </c>
      <c r="V12" s="114">
        <f t="shared" si="1"/>
        <v>0</v>
      </c>
      <c r="W12" s="114">
        <f t="shared" si="1"/>
        <v>0</v>
      </c>
      <c r="X12" s="114">
        <f t="shared" si="1"/>
        <v>0</v>
      </c>
      <c r="Y12" s="114">
        <f t="shared" si="1"/>
        <v>0</v>
      </c>
      <c r="Z12" s="114">
        <f t="shared" si="1"/>
        <v>0</v>
      </c>
    </row>
    <row r="13" spans="1:26">
      <c r="A13" s="145" t="s">
        <v>2</v>
      </c>
      <c r="B13" s="20"/>
      <c r="D13" s="114">
        <v>0</v>
      </c>
      <c r="E13" s="114">
        <f t="shared" si="0"/>
        <v>250.9375</v>
      </c>
      <c r="F13" s="114">
        <f t="shared" si="0"/>
        <v>351.31250000000006</v>
      </c>
      <c r="G13" s="114">
        <f t="shared" si="0"/>
        <v>451.6875</v>
      </c>
      <c r="H13" s="114">
        <f t="shared" si="0"/>
        <v>552.0625</v>
      </c>
      <c r="I13" s="114">
        <f t="shared" si="0"/>
        <v>552.0625</v>
      </c>
      <c r="J13" s="114">
        <f t="shared" si="0"/>
        <v>652.4375</v>
      </c>
      <c r="K13" s="114">
        <f t="shared" si="0"/>
        <v>752.8125</v>
      </c>
      <c r="L13" s="114">
        <f t="shared" si="0"/>
        <v>853.18750000000011</v>
      </c>
      <c r="M13" s="114">
        <f t="shared" si="0"/>
        <v>953.5625</v>
      </c>
      <c r="N13" s="114">
        <f t="shared" si="0"/>
        <v>2150.0324999999998</v>
      </c>
      <c r="O13" s="114">
        <f t="shared" si="0"/>
        <v>2515.3975</v>
      </c>
      <c r="P13" s="114">
        <f t="shared" si="0"/>
        <v>2342.7525000000001</v>
      </c>
      <c r="Q13" s="114">
        <f t="shared" si="0"/>
        <v>2688.0425</v>
      </c>
      <c r="R13" s="114">
        <f t="shared" si="0"/>
        <v>3121.6624999999999</v>
      </c>
      <c r="S13" s="114">
        <f>+S$11*$C$50/2</f>
        <v>3472.9750000000004</v>
      </c>
      <c r="T13" s="114">
        <f t="shared" si="1"/>
        <v>0</v>
      </c>
      <c r="U13" s="114">
        <f t="shared" si="1"/>
        <v>0</v>
      </c>
      <c r="V13" s="114">
        <f t="shared" si="1"/>
        <v>0</v>
      </c>
      <c r="W13" s="114">
        <f t="shared" si="1"/>
        <v>0</v>
      </c>
      <c r="X13" s="114">
        <f t="shared" si="1"/>
        <v>0</v>
      </c>
      <c r="Y13" s="114">
        <f t="shared" si="1"/>
        <v>0</v>
      </c>
      <c r="Z13" s="114">
        <f t="shared" si="1"/>
        <v>0</v>
      </c>
    </row>
    <row r="14" spans="1:26">
      <c r="A14" s="145" t="s">
        <v>3</v>
      </c>
      <c r="B14" s="20"/>
      <c r="D14" s="114">
        <f>+D$11*$C$50/2</f>
        <v>301.125</v>
      </c>
      <c r="E14" s="114">
        <f t="shared" si="0"/>
        <v>250.9375</v>
      </c>
      <c r="F14" s="114">
        <f t="shared" si="0"/>
        <v>351.31250000000006</v>
      </c>
      <c r="G14" s="114">
        <f t="shared" si="0"/>
        <v>451.6875</v>
      </c>
      <c r="H14" s="114">
        <f t="shared" si="0"/>
        <v>552.0625</v>
      </c>
      <c r="I14" s="114">
        <f t="shared" si="0"/>
        <v>552.0625</v>
      </c>
      <c r="J14" s="114">
        <f t="shared" si="0"/>
        <v>652.4375</v>
      </c>
      <c r="K14" s="114">
        <f t="shared" si="0"/>
        <v>752.8125</v>
      </c>
      <c r="L14" s="114">
        <f t="shared" si="0"/>
        <v>853.18750000000011</v>
      </c>
      <c r="M14" s="114">
        <f t="shared" si="0"/>
        <v>953.5625</v>
      </c>
      <c r="N14" s="114">
        <f t="shared" si="0"/>
        <v>2150.0324999999998</v>
      </c>
      <c r="O14" s="114">
        <f t="shared" si="0"/>
        <v>2515.3975</v>
      </c>
      <c r="P14" s="114">
        <f t="shared" si="0"/>
        <v>2342.7525000000001</v>
      </c>
      <c r="Q14" s="114">
        <f t="shared" si="0"/>
        <v>2688.0425</v>
      </c>
      <c r="R14" s="114">
        <f t="shared" si="0"/>
        <v>3121.6624999999999</v>
      </c>
      <c r="S14" s="114">
        <v>0</v>
      </c>
      <c r="T14" s="114">
        <f t="shared" si="1"/>
        <v>0</v>
      </c>
      <c r="U14" s="114">
        <f t="shared" si="1"/>
        <v>0</v>
      </c>
      <c r="V14" s="114">
        <f t="shared" si="1"/>
        <v>0</v>
      </c>
      <c r="W14" s="114">
        <f t="shared" si="1"/>
        <v>0</v>
      </c>
      <c r="X14" s="114">
        <f t="shared" si="1"/>
        <v>0</v>
      </c>
      <c r="Y14" s="114">
        <f t="shared" si="1"/>
        <v>0</v>
      </c>
      <c r="Z14" s="114">
        <f t="shared" si="1"/>
        <v>0</v>
      </c>
    </row>
    <row r="15" spans="1:26">
      <c r="A15" s="145" t="s">
        <v>4</v>
      </c>
      <c r="B15" s="20"/>
      <c r="D15" s="114">
        <f>+D$11*$C$50/2</f>
        <v>301.125</v>
      </c>
      <c r="E15" s="114">
        <f t="shared" si="0"/>
        <v>250.9375</v>
      </c>
      <c r="F15" s="114">
        <f t="shared" si="0"/>
        <v>351.31250000000006</v>
      </c>
      <c r="G15" s="114">
        <f t="shared" si="0"/>
        <v>451.6875</v>
      </c>
      <c r="H15" s="114">
        <f t="shared" si="0"/>
        <v>552.0625</v>
      </c>
      <c r="I15" s="114">
        <f t="shared" si="0"/>
        <v>552.0625</v>
      </c>
      <c r="J15" s="114">
        <f t="shared" si="0"/>
        <v>652.4375</v>
      </c>
      <c r="K15" s="114">
        <f t="shared" si="0"/>
        <v>752.8125</v>
      </c>
      <c r="L15" s="114">
        <f t="shared" si="0"/>
        <v>853.18750000000011</v>
      </c>
      <c r="M15" s="114">
        <f t="shared" si="0"/>
        <v>953.5625</v>
      </c>
      <c r="N15" s="114">
        <f t="shared" si="0"/>
        <v>2150.0324999999998</v>
      </c>
      <c r="O15" s="114">
        <f t="shared" si="0"/>
        <v>2515.3975</v>
      </c>
      <c r="P15" s="114">
        <f t="shared" si="0"/>
        <v>2342.7525000000001</v>
      </c>
      <c r="Q15" s="114">
        <f t="shared" si="0"/>
        <v>2688.0425</v>
      </c>
      <c r="R15" s="114">
        <f t="shared" si="0"/>
        <v>3121.6624999999999</v>
      </c>
      <c r="S15" s="114">
        <v>0</v>
      </c>
      <c r="T15" s="114">
        <f t="shared" si="1"/>
        <v>0</v>
      </c>
      <c r="U15" s="114">
        <f t="shared" si="1"/>
        <v>0</v>
      </c>
      <c r="V15" s="114">
        <f t="shared" si="1"/>
        <v>0</v>
      </c>
      <c r="W15" s="114">
        <f t="shared" si="1"/>
        <v>0</v>
      </c>
      <c r="X15" s="114">
        <f t="shared" si="1"/>
        <v>0</v>
      </c>
      <c r="Y15" s="114">
        <f t="shared" si="1"/>
        <v>0</v>
      </c>
      <c r="Z15" s="114">
        <f t="shared" si="1"/>
        <v>0</v>
      </c>
    </row>
    <row r="16" spans="1:26">
      <c r="A16" s="145"/>
      <c r="B16" s="20"/>
      <c r="D16" s="114"/>
      <c r="E16" s="114"/>
      <c r="F16" s="114"/>
      <c r="G16" s="114"/>
      <c r="H16" s="114"/>
      <c r="I16" s="114"/>
      <c r="J16" s="114"/>
      <c r="K16" s="114"/>
      <c r="L16" s="114"/>
      <c r="M16" s="114"/>
      <c r="N16" s="114"/>
      <c r="O16" s="114"/>
      <c r="P16" s="114"/>
      <c r="Q16" s="114"/>
      <c r="R16" s="114"/>
      <c r="S16" s="114"/>
      <c r="T16" s="114"/>
      <c r="U16" s="114"/>
      <c r="V16" s="114"/>
      <c r="W16" s="114"/>
      <c r="X16" s="114"/>
      <c r="Y16" s="114"/>
      <c r="Z16" s="114"/>
    </row>
    <row r="17" spans="1:26">
      <c r="A17" s="145" t="s">
        <v>5</v>
      </c>
      <c r="B17" s="20"/>
      <c r="D17" s="114">
        <f>+C50</f>
        <v>80300</v>
      </c>
      <c r="E17" s="114">
        <f t="shared" ref="E17:Z17" si="2">+D20-D15</f>
        <v>79697.75</v>
      </c>
      <c r="F17" s="114">
        <f t="shared" si="2"/>
        <v>78694</v>
      </c>
      <c r="G17" s="114">
        <f t="shared" si="2"/>
        <v>77288.75</v>
      </c>
      <c r="H17" s="114">
        <f t="shared" si="2"/>
        <v>75482</v>
      </c>
      <c r="I17" s="114">
        <f t="shared" si="2"/>
        <v>73273.75</v>
      </c>
      <c r="J17" s="114">
        <f t="shared" si="2"/>
        <v>71065.5</v>
      </c>
      <c r="K17" s="114">
        <f t="shared" si="2"/>
        <v>68455.75</v>
      </c>
      <c r="L17" s="114">
        <f t="shared" si="2"/>
        <v>65444.5</v>
      </c>
      <c r="M17" s="114">
        <f t="shared" si="2"/>
        <v>62031.75</v>
      </c>
      <c r="N17" s="114">
        <f t="shared" si="2"/>
        <v>58217.5</v>
      </c>
      <c r="O17" s="114">
        <f t="shared" si="2"/>
        <v>49617.369999999995</v>
      </c>
      <c r="P17" s="114">
        <f t="shared" si="2"/>
        <v>39555.78</v>
      </c>
      <c r="Q17" s="114">
        <f t="shared" si="2"/>
        <v>30184.769999999997</v>
      </c>
      <c r="R17" s="114">
        <f t="shared" si="2"/>
        <v>19432.599999999999</v>
      </c>
      <c r="S17" s="114">
        <f t="shared" si="2"/>
        <v>6945.9499999999971</v>
      </c>
      <c r="T17" s="114">
        <f t="shared" si="2"/>
        <v>-3.637978807091713E-12</v>
      </c>
      <c r="U17" s="114">
        <f t="shared" si="2"/>
        <v>-3.637978807091713E-12</v>
      </c>
      <c r="V17" s="114">
        <f t="shared" si="2"/>
        <v>-3.637978807091713E-12</v>
      </c>
      <c r="W17" s="114">
        <f t="shared" si="2"/>
        <v>-3.637978807091713E-12</v>
      </c>
      <c r="X17" s="114">
        <f t="shared" si="2"/>
        <v>-3.637978807091713E-12</v>
      </c>
      <c r="Y17" s="114">
        <f t="shared" si="2"/>
        <v>-3.637978807091713E-12</v>
      </c>
      <c r="Z17" s="114">
        <f t="shared" si="2"/>
        <v>-3.637978807091713E-12</v>
      </c>
    </row>
    <row r="18" spans="1:26">
      <c r="A18" s="145" t="s">
        <v>6</v>
      </c>
      <c r="B18" s="20"/>
      <c r="D18" s="114">
        <f t="shared" ref="D18:M20" si="3">+D17-D12</f>
        <v>80300</v>
      </c>
      <c r="E18" s="114">
        <f t="shared" si="3"/>
        <v>79446.8125</v>
      </c>
      <c r="F18" s="114">
        <f t="shared" si="3"/>
        <v>78342.6875</v>
      </c>
      <c r="G18" s="114">
        <f t="shared" si="3"/>
        <v>76837.0625</v>
      </c>
      <c r="H18" s="114">
        <f t="shared" si="3"/>
        <v>74929.9375</v>
      </c>
      <c r="I18" s="114">
        <f t="shared" si="3"/>
        <v>72721.6875</v>
      </c>
      <c r="J18" s="114">
        <f t="shared" si="3"/>
        <v>70413.0625</v>
      </c>
      <c r="K18" s="114">
        <f t="shared" si="3"/>
        <v>67702.9375</v>
      </c>
      <c r="L18" s="114">
        <f t="shared" si="3"/>
        <v>64591.3125</v>
      </c>
      <c r="M18" s="114">
        <f t="shared" si="3"/>
        <v>61078.1875</v>
      </c>
      <c r="N18" s="114">
        <f t="shared" ref="N18:W20" si="4">+N17-N12</f>
        <v>56067.467499999999</v>
      </c>
      <c r="O18" s="114">
        <f t="shared" si="4"/>
        <v>47101.972499999996</v>
      </c>
      <c r="P18" s="114">
        <f t="shared" si="4"/>
        <v>37213.027499999997</v>
      </c>
      <c r="Q18" s="114">
        <f t="shared" si="4"/>
        <v>27496.727499999997</v>
      </c>
      <c r="R18" s="114">
        <f t="shared" si="4"/>
        <v>16310.937499999998</v>
      </c>
      <c r="S18" s="114">
        <f t="shared" si="4"/>
        <v>3472.9749999999967</v>
      </c>
      <c r="T18" s="114">
        <f t="shared" si="4"/>
        <v>-3.637978807091713E-12</v>
      </c>
      <c r="U18" s="114">
        <f t="shared" si="4"/>
        <v>-3.637978807091713E-12</v>
      </c>
      <c r="V18" s="114">
        <f t="shared" si="4"/>
        <v>-3.637978807091713E-12</v>
      </c>
      <c r="W18" s="114">
        <f t="shared" si="4"/>
        <v>-3.637978807091713E-12</v>
      </c>
      <c r="X18" s="114">
        <f t="shared" ref="X18:Z20" si="5">+X17-X12</f>
        <v>-3.637978807091713E-12</v>
      </c>
      <c r="Y18" s="114">
        <f t="shared" si="5"/>
        <v>-3.637978807091713E-12</v>
      </c>
      <c r="Z18" s="114">
        <f t="shared" si="5"/>
        <v>-3.637978807091713E-12</v>
      </c>
    </row>
    <row r="19" spans="1:26">
      <c r="A19" s="145" t="s">
        <v>7</v>
      </c>
      <c r="B19" s="20"/>
      <c r="D19" s="114">
        <f t="shared" si="3"/>
        <v>80300</v>
      </c>
      <c r="E19" s="114">
        <f t="shared" si="3"/>
        <v>79195.875</v>
      </c>
      <c r="F19" s="114">
        <f t="shared" si="3"/>
        <v>77991.375</v>
      </c>
      <c r="G19" s="114">
        <f t="shared" si="3"/>
        <v>76385.375</v>
      </c>
      <c r="H19" s="114">
        <f t="shared" si="3"/>
        <v>74377.875</v>
      </c>
      <c r="I19" s="114">
        <f t="shared" si="3"/>
        <v>72169.625</v>
      </c>
      <c r="J19" s="114">
        <f t="shared" si="3"/>
        <v>69760.625</v>
      </c>
      <c r="K19" s="114">
        <f t="shared" si="3"/>
        <v>66950.125</v>
      </c>
      <c r="L19" s="114">
        <f t="shared" si="3"/>
        <v>63738.125</v>
      </c>
      <c r="M19" s="114">
        <f t="shared" si="3"/>
        <v>60124.625</v>
      </c>
      <c r="N19" s="114">
        <f t="shared" si="4"/>
        <v>53917.434999999998</v>
      </c>
      <c r="O19" s="114">
        <f t="shared" si="4"/>
        <v>44586.574999999997</v>
      </c>
      <c r="P19" s="114">
        <f t="shared" si="4"/>
        <v>34870.274999999994</v>
      </c>
      <c r="Q19" s="114">
        <f t="shared" si="4"/>
        <v>24808.684999999998</v>
      </c>
      <c r="R19" s="114">
        <f t="shared" si="4"/>
        <v>13189.274999999998</v>
      </c>
      <c r="S19" s="114">
        <f t="shared" si="4"/>
        <v>-3.637978807091713E-12</v>
      </c>
      <c r="T19" s="114">
        <f t="shared" si="4"/>
        <v>-3.637978807091713E-12</v>
      </c>
      <c r="U19" s="114">
        <f t="shared" si="4"/>
        <v>-3.637978807091713E-12</v>
      </c>
      <c r="V19" s="114">
        <f t="shared" si="4"/>
        <v>-3.637978807091713E-12</v>
      </c>
      <c r="W19" s="114">
        <f t="shared" si="4"/>
        <v>-3.637978807091713E-12</v>
      </c>
      <c r="X19" s="114">
        <f t="shared" si="5"/>
        <v>-3.637978807091713E-12</v>
      </c>
      <c r="Y19" s="114">
        <f t="shared" si="5"/>
        <v>-3.637978807091713E-12</v>
      </c>
      <c r="Z19" s="114">
        <f t="shared" si="5"/>
        <v>-3.637978807091713E-12</v>
      </c>
    </row>
    <row r="20" spans="1:26">
      <c r="A20" s="145" t="s">
        <v>8</v>
      </c>
      <c r="B20" s="20"/>
      <c r="D20" s="114">
        <f t="shared" si="3"/>
        <v>79998.875</v>
      </c>
      <c r="E20" s="114">
        <f t="shared" si="3"/>
        <v>78944.9375</v>
      </c>
      <c r="F20" s="114">
        <f t="shared" si="3"/>
        <v>77640.0625</v>
      </c>
      <c r="G20" s="114">
        <f t="shared" si="3"/>
        <v>75933.6875</v>
      </c>
      <c r="H20" s="114">
        <f t="shared" si="3"/>
        <v>73825.8125</v>
      </c>
      <c r="I20" s="114">
        <f t="shared" si="3"/>
        <v>71617.5625</v>
      </c>
      <c r="J20" s="114">
        <f t="shared" si="3"/>
        <v>69108.1875</v>
      </c>
      <c r="K20" s="114">
        <f t="shared" si="3"/>
        <v>66197.3125</v>
      </c>
      <c r="L20" s="114">
        <f t="shared" si="3"/>
        <v>62884.9375</v>
      </c>
      <c r="M20" s="114">
        <f t="shared" si="3"/>
        <v>59171.0625</v>
      </c>
      <c r="N20" s="114">
        <f t="shared" si="4"/>
        <v>51767.402499999997</v>
      </c>
      <c r="O20" s="114">
        <f t="shared" si="4"/>
        <v>42071.177499999998</v>
      </c>
      <c r="P20" s="114">
        <f t="shared" si="4"/>
        <v>32527.522499999995</v>
      </c>
      <c r="Q20" s="114">
        <f t="shared" si="4"/>
        <v>22120.642499999998</v>
      </c>
      <c r="R20" s="114">
        <f t="shared" si="4"/>
        <v>10067.612499999997</v>
      </c>
      <c r="S20" s="114">
        <f t="shared" si="4"/>
        <v>-3.637978807091713E-12</v>
      </c>
      <c r="T20" s="114">
        <f t="shared" si="4"/>
        <v>-3.637978807091713E-12</v>
      </c>
      <c r="U20" s="114">
        <f t="shared" si="4"/>
        <v>-3.637978807091713E-12</v>
      </c>
      <c r="V20" s="114">
        <f t="shared" si="4"/>
        <v>-3.637978807091713E-12</v>
      </c>
      <c r="W20" s="114">
        <f t="shared" si="4"/>
        <v>-3.637978807091713E-12</v>
      </c>
      <c r="X20" s="114">
        <f t="shared" si="5"/>
        <v>-3.637978807091713E-12</v>
      </c>
      <c r="Y20" s="114">
        <f t="shared" si="5"/>
        <v>-3.637978807091713E-12</v>
      </c>
      <c r="Z20" s="114">
        <f t="shared" si="5"/>
        <v>-3.637978807091713E-12</v>
      </c>
    </row>
    <row r="21" spans="1:26">
      <c r="A21" s="145"/>
      <c r="B21" s="20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spans="1:26">
      <c r="A22" s="147" t="s">
        <v>9</v>
      </c>
      <c r="B22" s="148"/>
      <c r="C22" s="149"/>
    </row>
    <row r="23" spans="1:26">
      <c r="A23" s="145" t="s">
        <v>0</v>
      </c>
      <c r="B23" s="20"/>
      <c r="D23" s="106">
        <v>0</v>
      </c>
      <c r="E23" s="106">
        <v>0</v>
      </c>
      <c r="F23" s="106">
        <v>0</v>
      </c>
      <c r="G23" s="106">
        <v>0</v>
      </c>
      <c r="H23" s="106">
        <v>0</v>
      </c>
      <c r="I23" s="106">
        <v>0</v>
      </c>
      <c r="J23" s="106">
        <v>0</v>
      </c>
      <c r="K23" s="106">
        <v>0</v>
      </c>
      <c r="L23" s="106">
        <v>0</v>
      </c>
      <c r="M23" s="106">
        <v>0</v>
      </c>
      <c r="N23" s="106">
        <v>0</v>
      </c>
      <c r="O23" s="106">
        <v>0</v>
      </c>
      <c r="P23" s="106">
        <v>0</v>
      </c>
      <c r="Q23" s="106">
        <v>0</v>
      </c>
      <c r="R23" s="106">
        <v>0</v>
      </c>
      <c r="S23" s="106">
        <v>0.16428400000000001</v>
      </c>
      <c r="T23" s="106">
        <v>0.18</v>
      </c>
      <c r="U23" s="106">
        <v>0.19714400000000001</v>
      </c>
      <c r="V23" s="106">
        <v>0.21857199999999999</v>
      </c>
      <c r="W23" s="106">
        <v>0.24</v>
      </c>
      <c r="X23" s="106">
        <v>0</v>
      </c>
      <c r="Y23" s="106">
        <v>0</v>
      </c>
      <c r="Z23" s="106">
        <v>0</v>
      </c>
    </row>
    <row r="24" spans="1:26">
      <c r="A24" s="145" t="s">
        <v>1</v>
      </c>
      <c r="B24" s="20"/>
      <c r="D24" s="114">
        <f t="shared" ref="D24:R27" si="6">+D$23*$C$51/4</f>
        <v>0</v>
      </c>
      <c r="E24" s="114">
        <f t="shared" si="6"/>
        <v>0</v>
      </c>
      <c r="F24" s="114">
        <f t="shared" si="6"/>
        <v>0</v>
      </c>
      <c r="G24" s="114">
        <f t="shared" si="6"/>
        <v>0</v>
      </c>
      <c r="H24" s="114">
        <f t="shared" si="6"/>
        <v>0</v>
      </c>
      <c r="I24" s="114">
        <f t="shared" si="6"/>
        <v>0</v>
      </c>
      <c r="J24" s="114">
        <f t="shared" si="6"/>
        <v>0</v>
      </c>
      <c r="K24" s="114">
        <f t="shared" si="6"/>
        <v>0</v>
      </c>
      <c r="L24" s="114">
        <f t="shared" si="6"/>
        <v>0</v>
      </c>
      <c r="M24" s="114">
        <f t="shared" si="6"/>
        <v>0</v>
      </c>
      <c r="N24" s="114">
        <f t="shared" si="6"/>
        <v>0</v>
      </c>
      <c r="O24" s="114">
        <f t="shared" si="6"/>
        <v>0</v>
      </c>
      <c r="P24" s="114">
        <f t="shared" si="6"/>
        <v>0</v>
      </c>
      <c r="Q24" s="114">
        <f t="shared" si="6"/>
        <v>0</v>
      </c>
      <c r="R24" s="114">
        <f t="shared" si="6"/>
        <v>0</v>
      </c>
      <c r="S24" s="114">
        <v>0</v>
      </c>
      <c r="T24" s="114">
        <f t="shared" ref="T24:Z27" si="7">+T$23*$C$51/4</f>
        <v>3150</v>
      </c>
      <c r="U24" s="114">
        <f t="shared" si="7"/>
        <v>3450.0200000000004</v>
      </c>
      <c r="V24" s="114">
        <f t="shared" si="7"/>
        <v>3825.0099999999998</v>
      </c>
      <c r="W24" s="114">
        <f t="shared" si="7"/>
        <v>4200</v>
      </c>
      <c r="X24" s="114">
        <f t="shared" si="7"/>
        <v>0</v>
      </c>
      <c r="Y24" s="114">
        <f t="shared" si="7"/>
        <v>0</v>
      </c>
      <c r="Z24" s="114">
        <f t="shared" si="7"/>
        <v>0</v>
      </c>
    </row>
    <row r="25" spans="1:26">
      <c r="A25" s="145" t="s">
        <v>2</v>
      </c>
      <c r="B25" s="20"/>
      <c r="D25" s="114">
        <f t="shared" si="6"/>
        <v>0</v>
      </c>
      <c r="E25" s="114">
        <f t="shared" si="6"/>
        <v>0</v>
      </c>
      <c r="F25" s="114">
        <f t="shared" si="6"/>
        <v>0</v>
      </c>
      <c r="G25" s="114">
        <f t="shared" si="6"/>
        <v>0</v>
      </c>
      <c r="H25" s="114">
        <f t="shared" si="6"/>
        <v>0</v>
      </c>
      <c r="I25" s="114">
        <f t="shared" si="6"/>
        <v>0</v>
      </c>
      <c r="J25" s="114">
        <f t="shared" si="6"/>
        <v>0</v>
      </c>
      <c r="K25" s="114">
        <f t="shared" si="6"/>
        <v>0</v>
      </c>
      <c r="L25" s="114">
        <f t="shared" si="6"/>
        <v>0</v>
      </c>
      <c r="M25" s="114">
        <f t="shared" si="6"/>
        <v>0</v>
      </c>
      <c r="N25" s="114">
        <f t="shared" si="6"/>
        <v>0</v>
      </c>
      <c r="O25" s="114">
        <f t="shared" si="6"/>
        <v>0</v>
      </c>
      <c r="P25" s="114">
        <f t="shared" si="6"/>
        <v>0</v>
      </c>
      <c r="Q25" s="114">
        <f t="shared" si="6"/>
        <v>0</v>
      </c>
      <c r="R25" s="114">
        <f t="shared" si="6"/>
        <v>0</v>
      </c>
      <c r="S25" s="114">
        <v>0</v>
      </c>
      <c r="T25" s="114">
        <f t="shared" si="7"/>
        <v>3150</v>
      </c>
      <c r="U25" s="114">
        <f t="shared" si="7"/>
        <v>3450.0200000000004</v>
      </c>
      <c r="V25" s="114">
        <f t="shared" si="7"/>
        <v>3825.0099999999998</v>
      </c>
      <c r="W25" s="114">
        <f t="shared" si="7"/>
        <v>4200</v>
      </c>
      <c r="X25" s="114">
        <f t="shared" si="7"/>
        <v>0</v>
      </c>
      <c r="Y25" s="114">
        <f t="shared" si="7"/>
        <v>0</v>
      </c>
      <c r="Z25" s="114">
        <f t="shared" si="7"/>
        <v>0</v>
      </c>
    </row>
    <row r="26" spans="1:26">
      <c r="A26" s="145" t="s">
        <v>3</v>
      </c>
      <c r="B26" s="20"/>
      <c r="D26" s="114">
        <f t="shared" si="6"/>
        <v>0</v>
      </c>
      <c r="E26" s="114">
        <f t="shared" si="6"/>
        <v>0</v>
      </c>
      <c r="F26" s="114">
        <f t="shared" si="6"/>
        <v>0</v>
      </c>
      <c r="G26" s="114">
        <f t="shared" si="6"/>
        <v>0</v>
      </c>
      <c r="H26" s="114">
        <f t="shared" si="6"/>
        <v>0</v>
      </c>
      <c r="I26" s="114">
        <f t="shared" si="6"/>
        <v>0</v>
      </c>
      <c r="J26" s="114">
        <f t="shared" si="6"/>
        <v>0</v>
      </c>
      <c r="K26" s="114">
        <f t="shared" si="6"/>
        <v>0</v>
      </c>
      <c r="L26" s="114">
        <f t="shared" si="6"/>
        <v>0</v>
      </c>
      <c r="M26" s="114">
        <f t="shared" si="6"/>
        <v>0</v>
      </c>
      <c r="N26" s="114">
        <f t="shared" si="6"/>
        <v>0</v>
      </c>
      <c r="O26" s="114">
        <f t="shared" si="6"/>
        <v>0</v>
      </c>
      <c r="P26" s="114">
        <f t="shared" si="6"/>
        <v>0</v>
      </c>
      <c r="Q26" s="114">
        <f t="shared" si="6"/>
        <v>0</v>
      </c>
      <c r="R26" s="114">
        <f t="shared" si="6"/>
        <v>0</v>
      </c>
      <c r="S26" s="114">
        <f>+S$23*$C$51/2</f>
        <v>5749.9400000000005</v>
      </c>
      <c r="T26" s="114">
        <f t="shared" si="7"/>
        <v>3150</v>
      </c>
      <c r="U26" s="114">
        <f t="shared" si="7"/>
        <v>3450.0200000000004</v>
      </c>
      <c r="V26" s="114">
        <f t="shared" si="7"/>
        <v>3825.0099999999998</v>
      </c>
      <c r="W26" s="114">
        <f t="shared" si="7"/>
        <v>4200</v>
      </c>
      <c r="X26" s="114">
        <f t="shared" si="7"/>
        <v>0</v>
      </c>
      <c r="Y26" s="114">
        <f t="shared" si="7"/>
        <v>0</v>
      </c>
      <c r="Z26" s="114">
        <f t="shared" si="7"/>
        <v>0</v>
      </c>
    </row>
    <row r="27" spans="1:26">
      <c r="A27" s="145" t="s">
        <v>4</v>
      </c>
      <c r="B27" s="20"/>
      <c r="D27" s="114">
        <f t="shared" si="6"/>
        <v>0</v>
      </c>
      <c r="E27" s="114">
        <f t="shared" si="6"/>
        <v>0</v>
      </c>
      <c r="F27" s="114">
        <f t="shared" si="6"/>
        <v>0</v>
      </c>
      <c r="G27" s="114">
        <f t="shared" si="6"/>
        <v>0</v>
      </c>
      <c r="H27" s="114">
        <f t="shared" si="6"/>
        <v>0</v>
      </c>
      <c r="I27" s="114">
        <f t="shared" si="6"/>
        <v>0</v>
      </c>
      <c r="J27" s="114">
        <f t="shared" si="6"/>
        <v>0</v>
      </c>
      <c r="K27" s="114">
        <f t="shared" si="6"/>
        <v>0</v>
      </c>
      <c r="L27" s="114">
        <f t="shared" si="6"/>
        <v>0</v>
      </c>
      <c r="M27" s="114">
        <f t="shared" si="6"/>
        <v>0</v>
      </c>
      <c r="N27" s="114">
        <f t="shared" si="6"/>
        <v>0</v>
      </c>
      <c r="O27" s="114">
        <f t="shared" si="6"/>
        <v>0</v>
      </c>
      <c r="P27" s="114">
        <f t="shared" si="6"/>
        <v>0</v>
      </c>
      <c r="Q27" s="114">
        <f t="shared" si="6"/>
        <v>0</v>
      </c>
      <c r="R27" s="114">
        <f t="shared" si="6"/>
        <v>0</v>
      </c>
      <c r="S27" s="114">
        <f>+S$23*$C$51/2</f>
        <v>5749.9400000000005</v>
      </c>
      <c r="T27" s="114">
        <f t="shared" si="7"/>
        <v>3150</v>
      </c>
      <c r="U27" s="114">
        <f t="shared" si="7"/>
        <v>3450.0200000000004</v>
      </c>
      <c r="V27" s="114">
        <f t="shared" si="7"/>
        <v>3825.0099999999998</v>
      </c>
      <c r="W27" s="114">
        <f t="shared" si="7"/>
        <v>4200</v>
      </c>
      <c r="X27" s="114">
        <f t="shared" si="7"/>
        <v>0</v>
      </c>
      <c r="Y27" s="114">
        <f t="shared" si="7"/>
        <v>0</v>
      </c>
      <c r="Z27" s="114">
        <f t="shared" si="7"/>
        <v>0</v>
      </c>
    </row>
    <row r="28" spans="1:26">
      <c r="A28" s="145"/>
      <c r="B28" s="20"/>
      <c r="D28" s="114"/>
      <c r="E28" s="114"/>
      <c r="F28" s="114"/>
      <c r="G28" s="114"/>
      <c r="H28" s="114"/>
      <c r="I28" s="114"/>
      <c r="J28" s="114"/>
      <c r="K28" s="114"/>
      <c r="L28" s="114"/>
      <c r="M28" s="114"/>
      <c r="N28" s="114"/>
      <c r="O28" s="114"/>
      <c r="P28" s="114"/>
      <c r="Q28" s="114"/>
      <c r="R28" s="114"/>
      <c r="S28" s="114"/>
      <c r="T28" s="114"/>
      <c r="U28" s="114"/>
      <c r="V28" s="114"/>
      <c r="W28" s="114"/>
      <c r="X28" s="114"/>
      <c r="Y28" s="114"/>
      <c r="Z28" s="114"/>
    </row>
    <row r="29" spans="1:26">
      <c r="A29" s="145" t="s">
        <v>5</v>
      </c>
      <c r="B29" s="20"/>
      <c r="D29" s="114">
        <f>+$C$51</f>
        <v>70000</v>
      </c>
      <c r="E29" s="114">
        <f t="shared" ref="E29:Z29" si="8">+D32-D27</f>
        <v>70000</v>
      </c>
      <c r="F29" s="114">
        <f t="shared" si="8"/>
        <v>70000</v>
      </c>
      <c r="G29" s="114">
        <f t="shared" si="8"/>
        <v>70000</v>
      </c>
      <c r="H29" s="114">
        <f t="shared" si="8"/>
        <v>70000</v>
      </c>
      <c r="I29" s="114">
        <f t="shared" si="8"/>
        <v>70000</v>
      </c>
      <c r="J29" s="114">
        <f t="shared" si="8"/>
        <v>70000</v>
      </c>
      <c r="K29" s="114">
        <f t="shared" si="8"/>
        <v>70000</v>
      </c>
      <c r="L29" s="114">
        <f t="shared" si="8"/>
        <v>70000</v>
      </c>
      <c r="M29" s="114">
        <f t="shared" si="8"/>
        <v>70000</v>
      </c>
      <c r="N29" s="114">
        <f t="shared" si="8"/>
        <v>70000</v>
      </c>
      <c r="O29" s="114">
        <f t="shared" si="8"/>
        <v>70000</v>
      </c>
      <c r="P29" s="114">
        <f t="shared" si="8"/>
        <v>70000</v>
      </c>
      <c r="Q29" s="114">
        <f t="shared" si="8"/>
        <v>70000</v>
      </c>
      <c r="R29" s="114">
        <f t="shared" si="8"/>
        <v>70000</v>
      </c>
      <c r="S29" s="114">
        <f t="shared" si="8"/>
        <v>70000</v>
      </c>
      <c r="T29" s="114">
        <f t="shared" si="8"/>
        <v>58500.119999999995</v>
      </c>
      <c r="U29" s="114">
        <f t="shared" si="8"/>
        <v>45900.119999999995</v>
      </c>
      <c r="V29" s="114">
        <f t="shared" si="8"/>
        <v>32100.039999999983</v>
      </c>
      <c r="W29" s="114">
        <f t="shared" si="8"/>
        <v>16799.999999999989</v>
      </c>
      <c r="X29" s="114">
        <f t="shared" si="8"/>
        <v>-1.0913936421275139E-11</v>
      </c>
      <c r="Y29" s="114">
        <f t="shared" si="8"/>
        <v>-1.0913936421275139E-11</v>
      </c>
      <c r="Z29" s="114">
        <f t="shared" si="8"/>
        <v>-1.0913936421275139E-11</v>
      </c>
    </row>
    <row r="30" spans="1:26">
      <c r="A30" s="145" t="s">
        <v>6</v>
      </c>
      <c r="B30" s="20"/>
      <c r="D30" s="114">
        <f t="shared" ref="D30:M32" si="9">+D29-D24</f>
        <v>70000</v>
      </c>
      <c r="E30" s="114">
        <f t="shared" si="9"/>
        <v>70000</v>
      </c>
      <c r="F30" s="114">
        <f t="shared" si="9"/>
        <v>70000</v>
      </c>
      <c r="G30" s="114">
        <f t="shared" si="9"/>
        <v>70000</v>
      </c>
      <c r="H30" s="114">
        <f t="shared" si="9"/>
        <v>70000</v>
      </c>
      <c r="I30" s="114">
        <f t="shared" si="9"/>
        <v>70000</v>
      </c>
      <c r="J30" s="114">
        <f t="shared" si="9"/>
        <v>70000</v>
      </c>
      <c r="K30" s="114">
        <f t="shared" si="9"/>
        <v>70000</v>
      </c>
      <c r="L30" s="114">
        <f t="shared" si="9"/>
        <v>70000</v>
      </c>
      <c r="M30" s="114">
        <f t="shared" si="9"/>
        <v>70000</v>
      </c>
      <c r="N30" s="114">
        <f t="shared" ref="N30:W32" si="10">+N29-N24</f>
        <v>70000</v>
      </c>
      <c r="O30" s="114">
        <f t="shared" si="10"/>
        <v>70000</v>
      </c>
      <c r="P30" s="114">
        <f t="shared" si="10"/>
        <v>70000</v>
      </c>
      <c r="Q30" s="114">
        <f t="shared" si="10"/>
        <v>70000</v>
      </c>
      <c r="R30" s="114">
        <f t="shared" si="10"/>
        <v>70000</v>
      </c>
      <c r="S30" s="114">
        <f t="shared" si="10"/>
        <v>70000</v>
      </c>
      <c r="T30" s="114">
        <f t="shared" si="10"/>
        <v>55350.119999999995</v>
      </c>
      <c r="U30" s="114">
        <f t="shared" si="10"/>
        <v>42450.099999999991</v>
      </c>
      <c r="V30" s="114">
        <f t="shared" si="10"/>
        <v>28275.029999999984</v>
      </c>
      <c r="W30" s="114">
        <f t="shared" si="10"/>
        <v>12599.999999999989</v>
      </c>
      <c r="X30" s="114">
        <f t="shared" ref="X30:Z32" si="11">+X29-X24</f>
        <v>-1.0913936421275139E-11</v>
      </c>
      <c r="Y30" s="114">
        <f t="shared" si="11"/>
        <v>-1.0913936421275139E-11</v>
      </c>
      <c r="Z30" s="114">
        <f t="shared" si="11"/>
        <v>-1.0913936421275139E-11</v>
      </c>
    </row>
    <row r="31" spans="1:26">
      <c r="A31" s="145" t="s">
        <v>7</v>
      </c>
      <c r="B31" s="20"/>
      <c r="D31" s="114">
        <f t="shared" si="9"/>
        <v>70000</v>
      </c>
      <c r="E31" s="114">
        <f t="shared" si="9"/>
        <v>70000</v>
      </c>
      <c r="F31" s="114">
        <f t="shared" si="9"/>
        <v>70000</v>
      </c>
      <c r="G31" s="114">
        <f t="shared" si="9"/>
        <v>70000</v>
      </c>
      <c r="H31" s="114">
        <f t="shared" si="9"/>
        <v>70000</v>
      </c>
      <c r="I31" s="114">
        <f t="shared" si="9"/>
        <v>70000</v>
      </c>
      <c r="J31" s="114">
        <f t="shared" si="9"/>
        <v>70000</v>
      </c>
      <c r="K31" s="114">
        <f t="shared" si="9"/>
        <v>70000</v>
      </c>
      <c r="L31" s="114">
        <f t="shared" si="9"/>
        <v>70000</v>
      </c>
      <c r="M31" s="114">
        <f t="shared" si="9"/>
        <v>70000</v>
      </c>
      <c r="N31" s="114">
        <f t="shared" si="10"/>
        <v>70000</v>
      </c>
      <c r="O31" s="114">
        <f t="shared" si="10"/>
        <v>70000</v>
      </c>
      <c r="P31" s="114">
        <f t="shared" si="10"/>
        <v>70000</v>
      </c>
      <c r="Q31" s="114">
        <f t="shared" si="10"/>
        <v>70000</v>
      </c>
      <c r="R31" s="114">
        <f t="shared" si="10"/>
        <v>70000</v>
      </c>
      <c r="S31" s="114">
        <f t="shared" si="10"/>
        <v>70000</v>
      </c>
      <c r="T31" s="114">
        <f t="shared" si="10"/>
        <v>52200.119999999995</v>
      </c>
      <c r="U31" s="114">
        <f t="shared" si="10"/>
        <v>39000.079999999987</v>
      </c>
      <c r="V31" s="114">
        <f t="shared" si="10"/>
        <v>24450.019999999986</v>
      </c>
      <c r="W31" s="114">
        <f t="shared" si="10"/>
        <v>8399.9999999999891</v>
      </c>
      <c r="X31" s="114">
        <f t="shared" si="11"/>
        <v>-1.0913936421275139E-11</v>
      </c>
      <c r="Y31" s="114">
        <f t="shared" si="11"/>
        <v>-1.0913936421275139E-11</v>
      </c>
      <c r="Z31" s="114">
        <f t="shared" si="11"/>
        <v>-1.0913936421275139E-11</v>
      </c>
    </row>
    <row r="32" spans="1:26">
      <c r="A32" s="145" t="s">
        <v>8</v>
      </c>
      <c r="B32" s="20"/>
      <c r="D32" s="114">
        <f t="shared" si="9"/>
        <v>70000</v>
      </c>
      <c r="E32" s="114">
        <f t="shared" si="9"/>
        <v>70000</v>
      </c>
      <c r="F32" s="114">
        <f t="shared" si="9"/>
        <v>70000</v>
      </c>
      <c r="G32" s="114">
        <f t="shared" si="9"/>
        <v>70000</v>
      </c>
      <c r="H32" s="114">
        <f t="shared" si="9"/>
        <v>70000</v>
      </c>
      <c r="I32" s="114">
        <f t="shared" si="9"/>
        <v>70000</v>
      </c>
      <c r="J32" s="114">
        <f t="shared" si="9"/>
        <v>70000</v>
      </c>
      <c r="K32" s="114">
        <f t="shared" si="9"/>
        <v>70000</v>
      </c>
      <c r="L32" s="114">
        <f t="shared" si="9"/>
        <v>70000</v>
      </c>
      <c r="M32" s="114">
        <f t="shared" si="9"/>
        <v>70000</v>
      </c>
      <c r="N32" s="114">
        <f t="shared" si="10"/>
        <v>70000</v>
      </c>
      <c r="O32" s="114">
        <f t="shared" si="10"/>
        <v>70000</v>
      </c>
      <c r="P32" s="114">
        <f t="shared" si="10"/>
        <v>70000</v>
      </c>
      <c r="Q32" s="114">
        <f t="shared" si="10"/>
        <v>70000</v>
      </c>
      <c r="R32" s="114">
        <f t="shared" si="10"/>
        <v>70000</v>
      </c>
      <c r="S32" s="114">
        <f t="shared" si="10"/>
        <v>64250.06</v>
      </c>
      <c r="T32" s="114">
        <f t="shared" si="10"/>
        <v>49050.119999999995</v>
      </c>
      <c r="U32" s="114">
        <f t="shared" si="10"/>
        <v>35550.059999999983</v>
      </c>
      <c r="V32" s="114">
        <f t="shared" si="10"/>
        <v>20625.009999999987</v>
      </c>
      <c r="W32" s="114">
        <f t="shared" si="10"/>
        <v>4199.9999999999891</v>
      </c>
      <c r="X32" s="114">
        <f t="shared" si="11"/>
        <v>-1.0913936421275139E-11</v>
      </c>
      <c r="Y32" s="114">
        <f t="shared" si="11"/>
        <v>-1.0913936421275139E-11</v>
      </c>
      <c r="Z32" s="114">
        <f t="shared" si="11"/>
        <v>-1.0913936421275139E-11</v>
      </c>
    </row>
    <row r="33" spans="1:26">
      <c r="A33" s="145"/>
      <c r="B33" s="20"/>
    </row>
    <row r="34" spans="1:26">
      <c r="A34" s="147" t="s">
        <v>10</v>
      </c>
      <c r="B34" s="148"/>
      <c r="C34" s="149"/>
      <c r="D34" s="3"/>
      <c r="E34" s="3"/>
      <c r="F34" s="3"/>
      <c r="G34" s="3"/>
    </row>
    <row r="35" spans="1:26">
      <c r="A35" s="145" t="s">
        <v>5</v>
      </c>
      <c r="B35" s="150" t="s">
        <v>99</v>
      </c>
      <c r="C35" s="59">
        <v>90</v>
      </c>
      <c r="D35" s="114">
        <f t="shared" ref="D35:Z35" si="12">+D29+D17</f>
        <v>150300</v>
      </c>
      <c r="E35" s="114">
        <f t="shared" si="12"/>
        <v>149697.75</v>
      </c>
      <c r="F35" s="114">
        <f t="shared" si="12"/>
        <v>148694</v>
      </c>
      <c r="G35" s="114">
        <f t="shared" si="12"/>
        <v>147288.75</v>
      </c>
      <c r="H35" s="114">
        <f t="shared" si="12"/>
        <v>145482</v>
      </c>
      <c r="I35" s="114">
        <f t="shared" si="12"/>
        <v>143273.75</v>
      </c>
      <c r="J35" s="114">
        <f t="shared" si="12"/>
        <v>141065.5</v>
      </c>
      <c r="K35" s="114">
        <f t="shared" si="12"/>
        <v>138455.75</v>
      </c>
      <c r="L35" s="114">
        <f t="shared" si="12"/>
        <v>135444.5</v>
      </c>
      <c r="M35" s="114">
        <f t="shared" si="12"/>
        <v>132031.75</v>
      </c>
      <c r="N35" s="114">
        <f t="shared" si="12"/>
        <v>128217.5</v>
      </c>
      <c r="O35" s="114">
        <f t="shared" si="12"/>
        <v>119617.37</v>
      </c>
      <c r="P35" s="114">
        <f t="shared" si="12"/>
        <v>109555.78</v>
      </c>
      <c r="Q35" s="114">
        <f t="shared" si="12"/>
        <v>100184.76999999999</v>
      </c>
      <c r="R35" s="114">
        <f t="shared" si="12"/>
        <v>89432.6</v>
      </c>
      <c r="S35" s="114">
        <f t="shared" si="12"/>
        <v>76945.95</v>
      </c>
      <c r="T35" s="114">
        <f t="shared" si="12"/>
        <v>58500.119999999995</v>
      </c>
      <c r="U35" s="114">
        <f t="shared" si="12"/>
        <v>45900.119999999995</v>
      </c>
      <c r="V35" s="114">
        <f t="shared" si="12"/>
        <v>32100.039999999979</v>
      </c>
      <c r="W35" s="114">
        <f t="shared" si="12"/>
        <v>16799.999999999985</v>
      </c>
      <c r="X35" s="114">
        <f t="shared" si="12"/>
        <v>-1.4551915228366852E-11</v>
      </c>
      <c r="Y35" s="114">
        <f t="shared" si="12"/>
        <v>-1.4551915228366852E-11</v>
      </c>
      <c r="Z35" s="114">
        <f t="shared" si="12"/>
        <v>-1.4551915228366852E-11</v>
      </c>
    </row>
    <row r="36" spans="1:26">
      <c r="A36" s="145" t="s">
        <v>6</v>
      </c>
      <c r="B36" s="20"/>
      <c r="C36" s="59">
        <v>91</v>
      </c>
      <c r="D36" s="114">
        <f t="shared" ref="D36:Z36" si="13">+D30+D18</f>
        <v>150300</v>
      </c>
      <c r="E36" s="114">
        <f t="shared" si="13"/>
        <v>149446.8125</v>
      </c>
      <c r="F36" s="114">
        <f t="shared" si="13"/>
        <v>148342.6875</v>
      </c>
      <c r="G36" s="114">
        <f t="shared" si="13"/>
        <v>146837.0625</v>
      </c>
      <c r="H36" s="114">
        <f t="shared" si="13"/>
        <v>144929.9375</v>
      </c>
      <c r="I36" s="114">
        <f t="shared" si="13"/>
        <v>142721.6875</v>
      </c>
      <c r="J36" s="114">
        <f t="shared" si="13"/>
        <v>140413.0625</v>
      </c>
      <c r="K36" s="114">
        <f t="shared" si="13"/>
        <v>137702.9375</v>
      </c>
      <c r="L36" s="114">
        <f t="shared" si="13"/>
        <v>134591.3125</v>
      </c>
      <c r="M36" s="114">
        <f t="shared" si="13"/>
        <v>131078.1875</v>
      </c>
      <c r="N36" s="114">
        <f t="shared" si="13"/>
        <v>126067.4675</v>
      </c>
      <c r="O36" s="114">
        <f t="shared" si="13"/>
        <v>117101.9725</v>
      </c>
      <c r="P36" s="114">
        <f t="shared" si="13"/>
        <v>107213.0275</v>
      </c>
      <c r="Q36" s="114">
        <f t="shared" si="13"/>
        <v>97496.727499999994</v>
      </c>
      <c r="R36" s="114">
        <f t="shared" si="13"/>
        <v>86310.9375</v>
      </c>
      <c r="S36" s="114">
        <f t="shared" si="13"/>
        <v>73472.974999999991</v>
      </c>
      <c r="T36" s="114">
        <f t="shared" si="13"/>
        <v>55350.119999999995</v>
      </c>
      <c r="U36" s="114">
        <f t="shared" si="13"/>
        <v>42450.099999999991</v>
      </c>
      <c r="V36" s="114">
        <f t="shared" si="13"/>
        <v>28275.029999999981</v>
      </c>
      <c r="W36" s="114">
        <f t="shared" si="13"/>
        <v>12599.999999999985</v>
      </c>
      <c r="X36" s="114">
        <f t="shared" si="13"/>
        <v>-1.4551915228366852E-11</v>
      </c>
      <c r="Y36" s="114">
        <f t="shared" si="13"/>
        <v>-1.4551915228366852E-11</v>
      </c>
      <c r="Z36" s="114">
        <f t="shared" si="13"/>
        <v>-1.4551915228366852E-11</v>
      </c>
    </row>
    <row r="37" spans="1:26">
      <c r="A37" s="145" t="s">
        <v>7</v>
      </c>
      <c r="B37" s="20"/>
      <c r="C37" s="59">
        <v>92</v>
      </c>
      <c r="D37" s="114">
        <f t="shared" ref="D37:Z37" si="14">+D31+D19</f>
        <v>150300</v>
      </c>
      <c r="E37" s="114">
        <f t="shared" si="14"/>
        <v>149195.875</v>
      </c>
      <c r="F37" s="114">
        <f t="shared" si="14"/>
        <v>147991.375</v>
      </c>
      <c r="G37" s="114">
        <f t="shared" si="14"/>
        <v>146385.375</v>
      </c>
      <c r="H37" s="114">
        <f t="shared" si="14"/>
        <v>144377.875</v>
      </c>
      <c r="I37" s="114">
        <f t="shared" si="14"/>
        <v>142169.625</v>
      </c>
      <c r="J37" s="114">
        <f t="shared" si="14"/>
        <v>139760.625</v>
      </c>
      <c r="K37" s="114">
        <f t="shared" si="14"/>
        <v>136950.125</v>
      </c>
      <c r="L37" s="114">
        <f t="shared" si="14"/>
        <v>133738.125</v>
      </c>
      <c r="M37" s="114">
        <f t="shared" si="14"/>
        <v>130124.625</v>
      </c>
      <c r="N37" s="114">
        <f t="shared" si="14"/>
        <v>123917.435</v>
      </c>
      <c r="O37" s="114">
        <f t="shared" si="14"/>
        <v>114586.575</v>
      </c>
      <c r="P37" s="114">
        <f t="shared" si="14"/>
        <v>104870.27499999999</v>
      </c>
      <c r="Q37" s="114">
        <f t="shared" si="14"/>
        <v>94808.684999999998</v>
      </c>
      <c r="R37" s="114">
        <f t="shared" si="14"/>
        <v>83189.274999999994</v>
      </c>
      <c r="S37" s="114">
        <f t="shared" si="14"/>
        <v>70000</v>
      </c>
      <c r="T37" s="114">
        <f t="shared" si="14"/>
        <v>52200.119999999995</v>
      </c>
      <c r="U37" s="114">
        <f t="shared" si="14"/>
        <v>39000.079999999987</v>
      </c>
      <c r="V37" s="114">
        <f t="shared" si="14"/>
        <v>24450.019999999982</v>
      </c>
      <c r="W37" s="114">
        <f t="shared" si="14"/>
        <v>8399.9999999999854</v>
      </c>
      <c r="X37" s="114">
        <f t="shared" si="14"/>
        <v>-1.4551915228366852E-11</v>
      </c>
      <c r="Y37" s="114">
        <f t="shared" si="14"/>
        <v>-1.4551915228366852E-11</v>
      </c>
      <c r="Z37" s="114">
        <f t="shared" si="14"/>
        <v>-1.4551915228366852E-11</v>
      </c>
    </row>
    <row r="38" spans="1:26">
      <c r="A38" s="145" t="s">
        <v>8</v>
      </c>
      <c r="B38" s="20"/>
      <c r="C38" s="60">
        <v>92</v>
      </c>
      <c r="D38" s="114">
        <f t="shared" ref="D38:Z38" si="15">+D32+D20</f>
        <v>149998.875</v>
      </c>
      <c r="E38" s="114">
        <f t="shared" si="15"/>
        <v>148944.9375</v>
      </c>
      <c r="F38" s="114">
        <f t="shared" si="15"/>
        <v>147640.0625</v>
      </c>
      <c r="G38" s="114">
        <f t="shared" si="15"/>
        <v>145933.6875</v>
      </c>
      <c r="H38" s="114">
        <f t="shared" si="15"/>
        <v>143825.8125</v>
      </c>
      <c r="I38" s="114">
        <f t="shared" si="15"/>
        <v>141617.5625</v>
      </c>
      <c r="J38" s="114">
        <f t="shared" si="15"/>
        <v>139108.1875</v>
      </c>
      <c r="K38" s="114">
        <f t="shared" si="15"/>
        <v>136197.3125</v>
      </c>
      <c r="L38" s="114">
        <f t="shared" si="15"/>
        <v>132884.9375</v>
      </c>
      <c r="M38" s="114">
        <f t="shared" si="15"/>
        <v>129171.0625</v>
      </c>
      <c r="N38" s="114">
        <f t="shared" si="15"/>
        <v>121767.4025</v>
      </c>
      <c r="O38" s="114">
        <f t="shared" si="15"/>
        <v>112071.17749999999</v>
      </c>
      <c r="P38" s="114">
        <f t="shared" si="15"/>
        <v>102527.52249999999</v>
      </c>
      <c r="Q38" s="114">
        <f t="shared" si="15"/>
        <v>92120.642500000002</v>
      </c>
      <c r="R38" s="114">
        <f t="shared" si="15"/>
        <v>80067.612500000003</v>
      </c>
      <c r="S38" s="114">
        <f t="shared" si="15"/>
        <v>64250.06</v>
      </c>
      <c r="T38" s="114">
        <f t="shared" si="15"/>
        <v>49050.119999999995</v>
      </c>
      <c r="U38" s="114">
        <f t="shared" si="15"/>
        <v>35550.059999999983</v>
      </c>
      <c r="V38" s="114">
        <f t="shared" si="15"/>
        <v>20625.009999999984</v>
      </c>
      <c r="W38" s="114">
        <f t="shared" si="15"/>
        <v>4199.9999999999854</v>
      </c>
      <c r="X38" s="114">
        <f t="shared" si="15"/>
        <v>-1.4551915228366852E-11</v>
      </c>
      <c r="Y38" s="114">
        <f t="shared" si="15"/>
        <v>-1.4551915228366852E-11</v>
      </c>
      <c r="Z38" s="114">
        <f t="shared" si="15"/>
        <v>-1.4551915228366852E-11</v>
      </c>
    </row>
    <row r="39" spans="1:26">
      <c r="A39" s="145"/>
      <c r="B39" s="20"/>
      <c r="C39" s="59">
        <f>SUM(C35:C38)</f>
        <v>365</v>
      </c>
      <c r="D39" s="114"/>
      <c r="E39" s="114"/>
      <c r="F39" s="114"/>
      <c r="G39" s="114"/>
      <c r="H39" s="114"/>
      <c r="I39" s="114"/>
      <c r="J39" s="114"/>
      <c r="K39" s="114"/>
      <c r="L39" s="114"/>
      <c r="M39" s="114"/>
      <c r="N39" s="114"/>
      <c r="O39" s="114"/>
      <c r="P39" s="114"/>
      <c r="Q39" s="114"/>
      <c r="R39" s="114"/>
      <c r="S39" s="114"/>
      <c r="T39" s="114"/>
      <c r="U39" s="114"/>
      <c r="V39" s="114"/>
      <c r="W39" s="114"/>
      <c r="X39" s="114"/>
      <c r="Y39" s="114"/>
      <c r="Z39" s="114"/>
    </row>
    <row r="40" spans="1:26">
      <c r="A40" s="145"/>
      <c r="B40" s="20"/>
      <c r="D40" s="114"/>
      <c r="E40" s="114"/>
      <c r="F40" s="114"/>
      <c r="G40" s="114"/>
      <c r="H40" s="114"/>
      <c r="I40" s="114"/>
      <c r="J40" s="114"/>
      <c r="K40" s="114"/>
      <c r="L40" s="114"/>
      <c r="M40" s="114"/>
      <c r="N40" s="114"/>
      <c r="O40" s="114"/>
      <c r="P40" s="114"/>
      <c r="Q40" s="114"/>
      <c r="R40" s="114"/>
      <c r="S40" s="114"/>
      <c r="T40" s="114"/>
      <c r="U40" s="114"/>
      <c r="V40" s="114"/>
      <c r="W40" s="114"/>
      <c r="X40" s="114"/>
      <c r="Y40" s="114"/>
      <c r="Z40" s="114"/>
    </row>
    <row r="41" spans="1:26">
      <c r="A41" s="146" t="s">
        <v>66</v>
      </c>
      <c r="B41" s="62"/>
      <c r="D41" s="114">
        <f t="shared" ref="D41:Z41" si="16">+SUMPRODUCT($C$35:$C$38,D35:D38)/$C$39</f>
        <v>150224.1</v>
      </c>
      <c r="E41" s="114">
        <f t="shared" si="16"/>
        <v>149318.9375</v>
      </c>
      <c r="F41" s="114">
        <f t="shared" si="16"/>
        <v>148163.66250000001</v>
      </c>
      <c r="G41" s="114">
        <f t="shared" si="16"/>
        <v>146606.88750000001</v>
      </c>
      <c r="H41" s="114">
        <f t="shared" si="16"/>
        <v>144648.61249999999</v>
      </c>
      <c r="I41" s="114">
        <f t="shared" si="16"/>
        <v>142440.36249999999</v>
      </c>
      <c r="J41" s="114">
        <f t="shared" si="16"/>
        <v>140080.58749999999</v>
      </c>
      <c r="K41" s="114">
        <f t="shared" si="16"/>
        <v>137319.3125</v>
      </c>
      <c r="L41" s="114">
        <f t="shared" si="16"/>
        <v>134156.53750000001</v>
      </c>
      <c r="M41" s="114">
        <f t="shared" si="16"/>
        <v>130592.2625</v>
      </c>
      <c r="N41" s="114">
        <f t="shared" si="16"/>
        <v>124971.8345</v>
      </c>
      <c r="O41" s="114">
        <f t="shared" si="16"/>
        <v>115820.15349999999</v>
      </c>
      <c r="P41" s="114">
        <f t="shared" si="16"/>
        <v>106019.1865</v>
      </c>
      <c r="Q41" s="114">
        <f t="shared" si="16"/>
        <v>96126.930499999988</v>
      </c>
      <c r="R41" s="114">
        <f t="shared" si="16"/>
        <v>84720.172500000001</v>
      </c>
      <c r="S41" s="114">
        <f t="shared" si="16"/>
        <v>71129.265054794523</v>
      </c>
      <c r="T41" s="114">
        <f t="shared" si="16"/>
        <v>53744.914520547936</v>
      </c>
      <c r="U41" s="114">
        <f t="shared" si="16"/>
        <v>40692.00761643835</v>
      </c>
      <c r="V41" s="114">
        <f t="shared" si="16"/>
        <v>26325.846821917788</v>
      </c>
      <c r="W41" s="114">
        <f t="shared" si="16"/>
        <v>10459.726027397244</v>
      </c>
      <c r="X41" s="114">
        <f t="shared" si="16"/>
        <v>-1.4551915228366852E-11</v>
      </c>
      <c r="Y41" s="114">
        <f t="shared" si="16"/>
        <v>-1.4551915228366852E-11</v>
      </c>
      <c r="Z41" s="114">
        <f t="shared" si="16"/>
        <v>-1.4551915228366852E-11</v>
      </c>
    </row>
    <row r="42" spans="1:26">
      <c r="A42" s="145"/>
      <c r="B42" s="20"/>
    </row>
    <row r="43" spans="1:26">
      <c r="A43" s="147" t="s">
        <v>13</v>
      </c>
      <c r="B43" s="148"/>
      <c r="C43" s="149"/>
    </row>
    <row r="44" spans="1:26" s="11" customFormat="1">
      <c r="A44" s="146" t="s">
        <v>65</v>
      </c>
      <c r="B44" s="62"/>
      <c r="C44" s="11" t="s">
        <v>25</v>
      </c>
      <c r="D44" s="16">
        <f t="shared" ref="D44:Z44" si="17">+D41/$C$54*$C$55*($C$52-$C$53)</f>
        <v>0.81014391064638824</v>
      </c>
      <c r="E44" s="16">
        <f t="shared" si="17"/>
        <v>0.80526245762040594</v>
      </c>
      <c r="F44" s="16">
        <f t="shared" si="17"/>
        <v>0.79903217229087486</v>
      </c>
      <c r="G44" s="16">
        <f t="shared" si="17"/>
        <v>0.79063663664448713</v>
      </c>
      <c r="H44" s="16">
        <f t="shared" si="17"/>
        <v>0.7800758506812423</v>
      </c>
      <c r="I44" s="16">
        <f t="shared" si="17"/>
        <v>0.76816697393853006</v>
      </c>
      <c r="J44" s="16">
        <f t="shared" si="17"/>
        <v>0.75544093765842868</v>
      </c>
      <c r="K44" s="16">
        <f t="shared" si="17"/>
        <v>0.74054965106147053</v>
      </c>
      <c r="L44" s="16">
        <f t="shared" si="17"/>
        <v>0.7234931141476556</v>
      </c>
      <c r="M44" s="16">
        <f t="shared" si="17"/>
        <v>0.7042713269169838</v>
      </c>
      <c r="N44" s="16">
        <f t="shared" si="17"/>
        <v>0.67396090722116631</v>
      </c>
      <c r="O44" s="16">
        <f t="shared" si="17"/>
        <v>0.62460678471799769</v>
      </c>
      <c r="P44" s="16">
        <f t="shared" si="17"/>
        <v>0.57175112618187607</v>
      </c>
      <c r="Q44" s="16">
        <f t="shared" si="17"/>
        <v>0.51840315497782019</v>
      </c>
      <c r="R44" s="16">
        <f t="shared" si="17"/>
        <v>0.45688762229087471</v>
      </c>
      <c r="S44" s="16">
        <f t="shared" si="17"/>
        <v>0.38359318480120513</v>
      </c>
      <c r="T44" s="16">
        <f t="shared" si="17"/>
        <v>0.2898410789416116</v>
      </c>
      <c r="U44" s="16">
        <f t="shared" si="17"/>
        <v>0.21944802586558335</v>
      </c>
      <c r="V44" s="16">
        <f t="shared" si="17"/>
        <v>0.14197272272149589</v>
      </c>
      <c r="W44" s="16">
        <f t="shared" si="17"/>
        <v>5.6408281681337512E-2</v>
      </c>
      <c r="X44" s="16">
        <f t="shared" si="17"/>
        <v>-7.847705867769452E-17</v>
      </c>
      <c r="Y44" s="16">
        <f t="shared" si="17"/>
        <v>-7.847705867769452E-17</v>
      </c>
      <c r="Z44" s="16">
        <f t="shared" si="17"/>
        <v>-7.847705867769452E-17</v>
      </c>
    </row>
    <row r="45" spans="1:26" s="11" customFormat="1">
      <c r="A45" s="146" t="s">
        <v>100</v>
      </c>
      <c r="B45" s="62"/>
      <c r="C45" s="11" t="s">
        <v>25</v>
      </c>
      <c r="D45" s="223">
        <f>+'Tenaska''s i Adjustment'!D45</f>
        <v>1.2</v>
      </c>
      <c r="E45" s="223">
        <f>+'Tenaska''s i Adjustment'!E45</f>
        <v>1.19</v>
      </c>
      <c r="F45" s="223">
        <f>+'Tenaska''s i Adjustment'!F45</f>
        <v>1.18</v>
      </c>
      <c r="G45" s="223">
        <f>+'Tenaska''s i Adjustment'!G45</f>
        <v>1.17</v>
      </c>
      <c r="H45" s="223">
        <f>+'Tenaska''s i Adjustment'!H45</f>
        <v>1.1499999999999999</v>
      </c>
      <c r="I45" s="223">
        <f>+'Tenaska''s i Adjustment'!I45</f>
        <v>1.1299999999999999</v>
      </c>
      <c r="J45" s="223">
        <f>+'Tenaska''s i Adjustment'!J45</f>
        <v>1.1100000000000001</v>
      </c>
      <c r="K45" s="223">
        <f>+'Tenaska''s i Adjustment'!K45</f>
        <v>1.0900000000000001</v>
      </c>
      <c r="L45" s="223">
        <f>+'Tenaska''s i Adjustment'!L45</f>
        <v>1.06</v>
      </c>
      <c r="M45" s="223">
        <f>+'Tenaska''s i Adjustment'!M45</f>
        <v>1.03</v>
      </c>
      <c r="N45" s="223">
        <f>+'Tenaska''s i Adjustment'!N45</f>
        <v>0.98</v>
      </c>
      <c r="O45" s="223">
        <f>+'Tenaska''s i Adjustment'!O45</f>
        <v>0.9</v>
      </c>
      <c r="P45" s="223">
        <f>+'Tenaska''s i Adjustment'!P45</f>
        <v>0.82</v>
      </c>
      <c r="Q45" s="223">
        <f>+'Tenaska''s i Adjustment'!Q45</f>
        <v>0.74</v>
      </c>
      <c r="R45" s="223">
        <f>+'Tenaska''s i Adjustment'!R45</f>
        <v>0.64</v>
      </c>
      <c r="S45" s="223">
        <f>+'Tenaska''s i Adjustment'!S45</f>
        <v>0.53</v>
      </c>
      <c r="T45" s="223">
        <f>+'Tenaska''s i Adjustment'!T45</f>
        <v>0.4</v>
      </c>
      <c r="U45" s="223">
        <f>+'Tenaska''s i Adjustment'!U45</f>
        <v>0.3</v>
      </c>
      <c r="V45" s="223">
        <f>+'Tenaska''s i Adjustment'!V45</f>
        <v>0.19</v>
      </c>
      <c r="W45" s="223">
        <f>+'Tenaska''s i Adjustment'!W45</f>
        <v>0.08</v>
      </c>
      <c r="X45" s="223">
        <f>+'Tenaska''s i Adjustment'!X45</f>
        <v>0</v>
      </c>
      <c r="Y45" s="223">
        <f>+'Tenaska''s i Adjustment'!Y45</f>
        <v>0</v>
      </c>
      <c r="Z45" s="223">
        <f>+'Tenaska''s i Adjustment'!Z45</f>
        <v>0</v>
      </c>
    </row>
    <row r="46" spans="1:26" s="11" customFormat="1">
      <c r="A46" s="146" t="s">
        <v>63</v>
      </c>
      <c r="B46" s="62"/>
      <c r="D46" s="16">
        <f t="shared" ref="D46:Z46" si="18">+D44-D45</f>
        <v>-0.38985608935361171</v>
      </c>
      <c r="E46" s="16">
        <f t="shared" si="18"/>
        <v>-0.38473754237959401</v>
      </c>
      <c r="F46" s="16">
        <f t="shared" si="18"/>
        <v>-0.38096782770912507</v>
      </c>
      <c r="G46" s="16">
        <f t="shared" si="18"/>
        <v>-0.37936336335551279</v>
      </c>
      <c r="H46" s="16">
        <f t="shared" si="18"/>
        <v>-0.36992414931875761</v>
      </c>
      <c r="I46" s="16">
        <f t="shared" si="18"/>
        <v>-0.36183302606146983</v>
      </c>
      <c r="J46" s="16">
        <f t="shared" si="18"/>
        <v>-0.35455906234157142</v>
      </c>
      <c r="K46" s="16">
        <f t="shared" si="18"/>
        <v>-0.34945034893852955</v>
      </c>
      <c r="L46" s="16">
        <f t="shared" si="18"/>
        <v>-0.33650688585234445</v>
      </c>
      <c r="M46" s="16">
        <f t="shared" si="18"/>
        <v>-0.32572867308301623</v>
      </c>
      <c r="N46" s="16">
        <f t="shared" si="18"/>
        <v>-0.30603909277883368</v>
      </c>
      <c r="O46" s="16">
        <f t="shared" si="18"/>
        <v>-0.27539321528200233</v>
      </c>
      <c r="P46" s="16">
        <f t="shared" si="18"/>
        <v>-0.24824887381812388</v>
      </c>
      <c r="Q46" s="16">
        <f t="shared" si="18"/>
        <v>-0.2215968450221798</v>
      </c>
      <c r="R46" s="16">
        <f t="shared" si="18"/>
        <v>-0.18311237770912531</v>
      </c>
      <c r="S46" s="16">
        <f t="shared" si="18"/>
        <v>-0.14640681519879489</v>
      </c>
      <c r="T46" s="16">
        <f t="shared" si="18"/>
        <v>-0.11015892105838843</v>
      </c>
      <c r="U46" s="16">
        <f t="shared" si="18"/>
        <v>-8.0551974134416643E-2</v>
      </c>
      <c r="V46" s="16">
        <f t="shared" si="18"/>
        <v>-4.8027277278504116E-2</v>
      </c>
      <c r="W46" s="16">
        <f t="shared" si="18"/>
        <v>-2.359171831866249E-2</v>
      </c>
      <c r="X46" s="16">
        <f t="shared" si="18"/>
        <v>-7.847705867769452E-17</v>
      </c>
      <c r="Y46" s="16">
        <f t="shared" si="18"/>
        <v>-7.847705867769452E-17</v>
      </c>
      <c r="Z46" s="16">
        <f t="shared" si="18"/>
        <v>-7.847705867769452E-17</v>
      </c>
    </row>
    <row r="47" spans="1:26">
      <c r="A47" s="113"/>
      <c r="B47" s="113"/>
    </row>
    <row r="48" spans="1:26" ht="13.5" thickBot="1">
      <c r="A48" s="113"/>
      <c r="B48" s="113"/>
    </row>
    <row r="49" spans="1:15" s="9" customFormat="1" ht="13.5" thickBot="1">
      <c r="A49" s="252" t="s">
        <v>67</v>
      </c>
      <c r="B49" s="253"/>
      <c r="C49" s="254"/>
      <c r="E49"/>
      <c r="F49"/>
      <c r="G49"/>
      <c r="H49"/>
      <c r="I49"/>
      <c r="J49"/>
      <c r="K49"/>
      <c r="L49"/>
      <c r="M49"/>
      <c r="N49"/>
      <c r="O49"/>
    </row>
    <row r="50" spans="1:15" s="9" customFormat="1">
      <c r="A50" s="77" t="s">
        <v>14</v>
      </c>
      <c r="B50" s="78"/>
      <c r="C50" s="116">
        <v>80300</v>
      </c>
      <c r="E50"/>
      <c r="F50"/>
      <c r="G50"/>
      <c r="H50"/>
      <c r="I50"/>
      <c r="J50"/>
      <c r="K50"/>
      <c r="L50"/>
      <c r="M50"/>
      <c r="N50"/>
      <c r="O50"/>
    </row>
    <row r="51" spans="1:15" s="9" customFormat="1">
      <c r="A51" s="79" t="s">
        <v>15</v>
      </c>
      <c r="C51" s="117">
        <v>70000</v>
      </c>
      <c r="E51"/>
      <c r="F51"/>
      <c r="G51"/>
      <c r="H51"/>
      <c r="I51"/>
      <c r="J51"/>
      <c r="K51"/>
      <c r="L51"/>
      <c r="M51"/>
      <c r="N51"/>
      <c r="O51"/>
    </row>
    <row r="52" spans="1:15" s="9" customFormat="1">
      <c r="A52" s="79" t="s">
        <v>12</v>
      </c>
      <c r="C52" s="118">
        <v>7.8020000000000006E-2</v>
      </c>
      <c r="E52"/>
      <c r="F52"/>
      <c r="G52"/>
      <c r="H52"/>
      <c r="I52"/>
      <c r="J52"/>
      <c r="K52"/>
      <c r="L52"/>
      <c r="M52"/>
      <c r="N52"/>
      <c r="O52"/>
    </row>
    <row r="53" spans="1:15" s="9" customFormat="1">
      <c r="A53" s="79" t="s">
        <v>11</v>
      </c>
      <c r="C53" s="118">
        <v>6.0999999999999999E-2</v>
      </c>
      <c r="E53"/>
      <c r="F53"/>
      <c r="G53"/>
      <c r="H53"/>
      <c r="I53"/>
      <c r="J53"/>
      <c r="K53"/>
      <c r="L53"/>
      <c r="M53"/>
      <c r="N53"/>
      <c r="O53"/>
    </row>
    <row r="54" spans="1:15" s="9" customFormat="1">
      <c r="A54" s="79" t="s">
        <v>77</v>
      </c>
      <c r="B54" s="83">
        <f>'Damage Calculations'!F8/1000</f>
        <v>263</v>
      </c>
      <c r="C54" s="82">
        <f>+B54*12</f>
        <v>3156</v>
      </c>
      <c r="E54"/>
      <c r="F54"/>
      <c r="G54"/>
      <c r="H54"/>
      <c r="I54"/>
      <c r="J54"/>
      <c r="K54"/>
      <c r="L54"/>
      <c r="M54"/>
      <c r="N54"/>
      <c r="O54"/>
    </row>
    <row r="55" spans="1:15" s="9" customFormat="1" ht="13.5" thickBot="1">
      <c r="A55" s="80" t="s">
        <v>76</v>
      </c>
      <c r="B55" s="81"/>
      <c r="C55" s="120">
        <v>1</v>
      </c>
      <c r="E55"/>
      <c r="F55"/>
      <c r="G55"/>
      <c r="H55"/>
      <c r="I55"/>
      <c r="J55"/>
      <c r="K55"/>
      <c r="L55"/>
      <c r="M55"/>
      <c r="N55"/>
      <c r="O55"/>
    </row>
    <row r="56" spans="1:15">
      <c r="A56" s="113"/>
      <c r="B56" s="113"/>
    </row>
  </sheetData>
  <mergeCells count="5">
    <mergeCell ref="A49:C49"/>
    <mergeCell ref="A1:Z1"/>
    <mergeCell ref="A2:Z2"/>
    <mergeCell ref="A5:Z5"/>
    <mergeCell ref="A3:Z3"/>
  </mergeCells>
  <phoneticPr fontId="24" type="noConversion"/>
  <printOptions horizontalCentered="1"/>
  <pageMargins left="0.25" right="0.25" top="0.25" bottom="0.25" header="0.5" footer="0.5"/>
  <pageSetup paperSize="150" scale="63" orientation="landscape" r:id="rId1"/>
  <headerFooter alignWithMargins="0">
    <oddFooter>&amp;L&amp;F, &amp;A&amp;R&amp;D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K42"/>
  <sheetViews>
    <sheetView showGridLines="0" zoomScale="75" workbookViewId="0">
      <selection activeCell="A3" sqref="A3:K3"/>
    </sheetView>
  </sheetViews>
  <sheetFormatPr defaultColWidth="9.140625" defaultRowHeight="12.75"/>
  <cols>
    <col min="1" max="1" width="2.85546875" customWidth="1"/>
    <col min="2" max="2" width="2.7109375" customWidth="1"/>
    <col min="3" max="3" width="9" customWidth="1"/>
    <col min="4" max="4" width="37" customWidth="1"/>
    <col min="5" max="5" width="5.7109375" customWidth="1"/>
    <col min="6" max="6" width="12.85546875" customWidth="1"/>
    <col min="7" max="7" width="5.5703125" customWidth="1"/>
    <col min="8" max="8" width="12.5703125" customWidth="1"/>
    <col min="9" max="9" width="5.5703125" customWidth="1"/>
    <col min="10" max="10" width="12.7109375" customWidth="1"/>
    <col min="11" max="11" width="5" customWidth="1"/>
  </cols>
  <sheetData>
    <row r="1" spans="1:11" ht="22.5">
      <c r="A1" s="240" t="s">
        <v>95</v>
      </c>
      <c r="B1" s="240"/>
      <c r="C1" s="240"/>
      <c r="D1" s="240"/>
      <c r="E1" s="240"/>
      <c r="F1" s="240"/>
      <c r="G1" s="240"/>
      <c r="H1" s="240"/>
      <c r="I1" s="240"/>
      <c r="J1" s="240"/>
      <c r="K1" s="240"/>
    </row>
    <row r="2" spans="1:11" ht="15">
      <c r="A2" s="233" t="s">
        <v>139</v>
      </c>
      <c r="B2" s="233"/>
      <c r="C2" s="233"/>
      <c r="D2" s="233"/>
      <c r="E2" s="233"/>
      <c r="F2" s="233"/>
      <c r="G2" s="233"/>
      <c r="H2" s="233"/>
      <c r="I2" s="233"/>
      <c r="J2" s="233"/>
      <c r="K2" s="233"/>
    </row>
    <row r="3" spans="1:11" ht="15">
      <c r="A3" s="233"/>
      <c r="B3" s="233"/>
      <c r="C3" s="233"/>
      <c r="D3" s="233"/>
      <c r="E3" s="233"/>
      <c r="F3" s="233"/>
      <c r="G3" s="233"/>
      <c r="H3" s="233"/>
      <c r="I3" s="233"/>
      <c r="J3" s="233"/>
      <c r="K3" s="233"/>
    </row>
    <row r="4" spans="1:11" ht="15.75">
      <c r="A4" s="56"/>
      <c r="B4" s="56"/>
      <c r="C4" s="56"/>
      <c r="D4" s="56"/>
      <c r="E4" s="56"/>
      <c r="F4" s="56"/>
      <c r="G4" s="56"/>
      <c r="H4" s="56"/>
      <c r="I4" s="56"/>
      <c r="J4" s="56"/>
      <c r="K4" s="56"/>
    </row>
    <row r="5" spans="1:11" ht="15">
      <c r="A5" s="241" t="s">
        <v>34</v>
      </c>
      <c r="B5" s="241"/>
      <c r="C5" s="241"/>
      <c r="D5" s="241"/>
      <c r="E5" s="241"/>
      <c r="F5" s="241"/>
      <c r="G5" s="241"/>
      <c r="H5" s="241"/>
      <c r="I5" s="241"/>
      <c r="J5" s="241"/>
      <c r="K5" s="241"/>
    </row>
    <row r="6" spans="1:11" ht="18">
      <c r="A6" s="184"/>
      <c r="B6" s="184"/>
      <c r="C6" s="184"/>
      <c r="D6" s="184"/>
      <c r="E6" s="184"/>
      <c r="F6" s="184"/>
      <c r="G6" s="184"/>
      <c r="H6" s="184"/>
      <c r="J6" s="184"/>
    </row>
    <row r="7" spans="1:11" ht="15">
      <c r="A7" s="255" t="s">
        <v>117</v>
      </c>
      <c r="B7" s="255"/>
      <c r="C7" s="255"/>
      <c r="D7" s="255"/>
      <c r="E7" s="255"/>
      <c r="F7" s="255"/>
      <c r="G7" s="255"/>
      <c r="H7" s="255"/>
      <c r="I7" s="255"/>
      <c r="J7" s="255"/>
      <c r="K7" s="255"/>
    </row>
    <row r="8" spans="1:11" ht="15">
      <c r="A8" s="185"/>
    </row>
    <row r="9" spans="1:11" ht="16.5" thickBot="1">
      <c r="A9" s="185"/>
      <c r="B9" s="186" t="s">
        <v>118</v>
      </c>
    </row>
    <row r="10" spans="1:11" ht="16.5" thickBot="1">
      <c r="B10" s="186"/>
      <c r="C10" t="str">
        <f>+[5]Valuation!B90</f>
        <v>DSCR Reserve</v>
      </c>
      <c r="F10" s="216">
        <v>7723.8554842664298</v>
      </c>
      <c r="H10" t="s">
        <v>29</v>
      </c>
      <c r="J10" s="218">
        <v>6.25E-2</v>
      </c>
    </row>
    <row r="11" spans="1:11" ht="15.75">
      <c r="B11" s="186"/>
      <c r="C11" t="str">
        <f>+[5]Valuation!B91</f>
        <v>Overhaul Reserve</v>
      </c>
      <c r="F11" s="217">
        <v>4110</v>
      </c>
      <c r="H11" t="s">
        <v>137</v>
      </c>
      <c r="J11" s="209">
        <f>1/(1+$J$10)^1</f>
        <v>0.94117647058823528</v>
      </c>
    </row>
    <row r="12" spans="1:11" ht="15.75">
      <c r="B12" s="186"/>
      <c r="C12" t="s">
        <v>119</v>
      </c>
      <c r="F12" s="187">
        <f>SUM(F10:F11)</f>
        <v>11833.855484266431</v>
      </c>
      <c r="H12" t="s">
        <v>138</v>
      </c>
      <c r="J12" s="209">
        <f>1/(1+$J$10)^0.5</f>
        <v>0.97014250014533188</v>
      </c>
    </row>
    <row r="13" spans="1:11" ht="17.25">
      <c r="B13" s="186"/>
      <c r="C13" t="str">
        <f>+[5]Valuation!B92</f>
        <v>COBANK Stock - Book Value</v>
      </c>
      <c r="F13" s="217">
        <v>1544</v>
      </c>
      <c r="H13" s="188"/>
      <c r="J13" s="188"/>
    </row>
    <row r="14" spans="1:11" ht="18" thickBot="1">
      <c r="B14" s="186"/>
      <c r="C14" t="s">
        <v>120</v>
      </c>
      <c r="F14" s="189">
        <f>SUM(F12:F13)</f>
        <v>13377.855484266431</v>
      </c>
      <c r="H14" s="188"/>
      <c r="J14" s="188"/>
    </row>
    <row r="15" spans="1:11" ht="16.5" thickTop="1">
      <c r="B15" s="186"/>
      <c r="F15" s="190"/>
      <c r="H15" s="190"/>
      <c r="J15" s="191"/>
    </row>
    <row r="16" spans="1:11" ht="15">
      <c r="A16" s="255" t="s">
        <v>121</v>
      </c>
      <c r="B16" s="255"/>
      <c r="C16" s="255"/>
      <c r="D16" s="255"/>
      <c r="E16" s="255"/>
      <c r="F16" s="255"/>
      <c r="G16" s="255"/>
      <c r="H16" s="255"/>
      <c r="I16" s="255"/>
      <c r="J16" s="255"/>
      <c r="K16" s="255"/>
    </row>
    <row r="17" spans="1:10" ht="15.75">
      <c r="B17" s="186"/>
      <c r="F17" s="190"/>
      <c r="H17" s="190"/>
      <c r="J17" s="191"/>
    </row>
    <row r="18" spans="1:10" ht="47.25">
      <c r="B18" s="186"/>
      <c r="F18" s="224" t="s">
        <v>140</v>
      </c>
      <c r="H18" s="224" t="s">
        <v>122</v>
      </c>
      <c r="J18" s="224" t="s">
        <v>123</v>
      </c>
    </row>
    <row r="19" spans="1:10" ht="15.75">
      <c r="B19" s="186" t="str">
        <f>"NPV "&amp;J10*100&amp;"%"</f>
        <v>NPV 6.25%</v>
      </c>
      <c r="F19" s="192">
        <v>36739</v>
      </c>
      <c r="H19" s="193">
        <v>36658</v>
      </c>
      <c r="J19" s="193">
        <v>36677</v>
      </c>
    </row>
    <row r="20" spans="1:10" ht="15.75">
      <c r="F20" s="194"/>
      <c r="H20" s="194"/>
      <c r="J20" s="194"/>
    </row>
    <row r="21" spans="1:10">
      <c r="C21" s="1" t="s">
        <v>124</v>
      </c>
      <c r="F21" s="195">
        <v>36892</v>
      </c>
      <c r="H21" s="195">
        <v>37257</v>
      </c>
      <c r="J21" s="195">
        <v>36892</v>
      </c>
    </row>
    <row r="22" spans="1:10" ht="13.5" thickBot="1"/>
    <row r="23" spans="1:10" s="1" customFormat="1" ht="13.5" thickBot="1">
      <c r="A23" s="196"/>
      <c r="C23" s="196" t="s">
        <v>125</v>
      </c>
      <c r="F23" s="197">
        <v>259618</v>
      </c>
      <c r="G23" s="213"/>
      <c r="H23" s="197">
        <v>164705.88235294117</v>
      </c>
      <c r="I23" s="213"/>
      <c r="J23" s="197">
        <v>189000</v>
      </c>
    </row>
    <row r="24" spans="1:10" s="1" customFormat="1">
      <c r="A24" s="196"/>
      <c r="C24" s="196"/>
      <c r="F24" s="214"/>
      <c r="G24" s="213"/>
      <c r="H24" s="198"/>
      <c r="I24" s="213"/>
      <c r="J24" s="198"/>
    </row>
    <row r="25" spans="1:10" s="199" customFormat="1">
      <c r="C25" s="200" t="s">
        <v>126</v>
      </c>
      <c r="F25" s="201">
        <v>0</v>
      </c>
      <c r="G25" s="212"/>
      <c r="H25" s="202">
        <v>14117.64705882353</v>
      </c>
      <c r="I25" s="212"/>
      <c r="J25" s="202">
        <v>15000</v>
      </c>
    </row>
    <row r="26" spans="1:10">
      <c r="A26" s="203"/>
      <c r="C26" s="200"/>
      <c r="F26" s="201"/>
      <c r="G26" s="212"/>
      <c r="H26" s="201"/>
      <c r="I26" s="212"/>
      <c r="J26" s="201"/>
    </row>
    <row r="27" spans="1:10">
      <c r="A27" s="203"/>
      <c r="C27" s="200" t="s">
        <v>127</v>
      </c>
      <c r="F27" s="202" t="s">
        <v>128</v>
      </c>
      <c r="G27" s="212"/>
      <c r="H27" s="201">
        <v>1443.4098876172457</v>
      </c>
      <c r="I27" s="212"/>
      <c r="J27" s="201">
        <v>531.38569166666673</v>
      </c>
    </row>
    <row r="28" spans="1:10">
      <c r="A28" s="203"/>
      <c r="C28" s="200" t="s">
        <v>129</v>
      </c>
      <c r="F28" s="202" t="s">
        <v>128</v>
      </c>
      <c r="G28" s="212"/>
      <c r="H28" s="215">
        <v>10502.593565609553</v>
      </c>
      <c r="I28" s="212"/>
      <c r="J28" s="202" t="s">
        <v>128</v>
      </c>
    </row>
    <row r="29" spans="1:10">
      <c r="A29" s="203"/>
      <c r="C29" s="200" t="s">
        <v>130</v>
      </c>
      <c r="F29" s="202" t="s">
        <v>128</v>
      </c>
      <c r="G29" s="212"/>
      <c r="H29" s="201">
        <v>14613.85674322052</v>
      </c>
      <c r="I29" s="212"/>
      <c r="J29" s="202" t="s">
        <v>128</v>
      </c>
    </row>
    <row r="30" spans="1:10">
      <c r="A30" s="203"/>
      <c r="C30" s="200" t="s">
        <v>131</v>
      </c>
      <c r="F30" s="201">
        <v>0</v>
      </c>
      <c r="G30" s="212"/>
      <c r="H30" s="201">
        <v>11137.746338133111</v>
      </c>
      <c r="I30" s="201"/>
      <c r="J30" s="201">
        <v>11833.855484266431</v>
      </c>
    </row>
    <row r="31" spans="1:10">
      <c r="A31" s="203"/>
      <c r="F31" s="212"/>
      <c r="G31" s="212"/>
      <c r="H31" s="212"/>
      <c r="I31" s="212"/>
      <c r="J31" s="212"/>
    </row>
    <row r="32" spans="1:10">
      <c r="C32" s="200" t="s">
        <v>132</v>
      </c>
      <c r="F32" s="201">
        <v>-14979.233650628297</v>
      </c>
      <c r="G32" s="212"/>
      <c r="H32" s="201">
        <v>-12360.366802565886</v>
      </c>
      <c r="I32" s="212"/>
      <c r="J32" s="201">
        <v>-8867.6955154360803</v>
      </c>
    </row>
    <row r="33" spans="3:10" s="199" customFormat="1">
      <c r="C33" s="200" t="str">
        <f>+C14</f>
        <v>Value of Assets NOT Included In Offer</v>
      </c>
      <c r="F33" s="201">
        <v>-13377.855484266431</v>
      </c>
      <c r="G33" s="212"/>
      <c r="H33" s="201">
        <v>0</v>
      </c>
      <c r="I33" s="212"/>
      <c r="J33" s="201">
        <v>0</v>
      </c>
    </row>
    <row r="34" spans="3:10" s="199" customFormat="1">
      <c r="C34" s="200"/>
      <c r="F34" s="201"/>
      <c r="G34" s="212"/>
      <c r="H34" s="201"/>
      <c r="I34" s="212"/>
      <c r="J34" s="201"/>
    </row>
    <row r="35" spans="3:10" s="199" customFormat="1">
      <c r="C35" s="200" t="s">
        <v>133</v>
      </c>
      <c r="F35" s="201">
        <v>-12510.932011515881</v>
      </c>
      <c r="G35" s="212"/>
      <c r="H35" s="201">
        <v>-12510.932011515881</v>
      </c>
      <c r="I35" s="212"/>
      <c r="J35" s="201">
        <v>-12510.932011515881</v>
      </c>
    </row>
    <row r="36" spans="3:10" s="199" customFormat="1">
      <c r="C36" s="200" t="s">
        <v>134</v>
      </c>
      <c r="F36" s="201">
        <v>-6888</v>
      </c>
      <c r="G36" s="212"/>
      <c r="H36" s="201">
        <v>-6888</v>
      </c>
      <c r="I36" s="212"/>
      <c r="J36" s="201">
        <v>-6888</v>
      </c>
    </row>
    <row r="37" spans="3:10">
      <c r="F37" s="211"/>
      <c r="G37" s="210"/>
      <c r="H37" s="211"/>
      <c r="I37" s="210"/>
      <c r="J37" s="211"/>
    </row>
    <row r="38" spans="3:10" s="1" customFormat="1" ht="13.5" thickBot="1">
      <c r="C38" s="1" t="s">
        <v>135</v>
      </c>
      <c r="F38" s="205">
        <f>SUM(F23:F36)</f>
        <v>211861.97885358939</v>
      </c>
      <c r="H38" s="205">
        <f>SUM(H23:H36)</f>
        <v>184761.83713226338</v>
      </c>
      <c r="J38" s="205">
        <f>SUM(J23:J36)</f>
        <v>188098.61364898112</v>
      </c>
    </row>
    <row r="39" spans="3:10" ht="13.5" thickTop="1">
      <c r="F39" s="204"/>
      <c r="H39" s="204"/>
      <c r="J39" s="204"/>
    </row>
    <row r="40" spans="3:10" s="1" customFormat="1">
      <c r="C40" s="1" t="s">
        <v>63</v>
      </c>
      <c r="F40" s="206"/>
      <c r="H40" s="207">
        <f>+H38-$F$38</f>
        <v>-27100.141721326014</v>
      </c>
      <c r="J40" s="207">
        <f>+J38-$F$38</f>
        <v>-23763.365204608272</v>
      </c>
    </row>
    <row r="41" spans="3:10" s="1" customFormat="1">
      <c r="F41" s="206"/>
      <c r="H41" s="206"/>
      <c r="J41" s="206"/>
    </row>
    <row r="42" spans="3:10" s="1" customFormat="1">
      <c r="C42" s="1" t="s">
        <v>136</v>
      </c>
      <c r="F42" s="206"/>
      <c r="H42" s="208">
        <f>-H40/$F$38</f>
        <v>0.1279141347964752</v>
      </c>
      <c r="J42" s="208">
        <f>-J40/$F$38</f>
        <v>0.11216436914822893</v>
      </c>
    </row>
  </sheetData>
  <mergeCells count="6">
    <mergeCell ref="A7:K7"/>
    <mergeCell ref="A16:K16"/>
    <mergeCell ref="A1:K1"/>
    <mergeCell ref="A2:K2"/>
    <mergeCell ref="A3:K3"/>
    <mergeCell ref="A5:K5"/>
  </mergeCells>
  <phoneticPr fontId="24" type="noConversion"/>
  <printOptions horizontalCentered="1"/>
  <pageMargins left="0.25" right="0.25" top="0.25" bottom="0.25" header="0.25" footer="0.25"/>
  <pageSetup scale="83" orientation="landscape" r:id="rId1"/>
  <headerFooter alignWithMargins="0">
    <oddFooter>&amp;L&amp;F, &amp;A&amp;R&amp;D</oddFooter>
  </headerFooter>
  <drawing r:id="rId2"/>
  <legacy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J45"/>
  <sheetViews>
    <sheetView topLeftCell="A18" zoomScale="75" workbookViewId="0">
      <selection activeCell="P33" sqref="P33"/>
    </sheetView>
  </sheetViews>
  <sheetFormatPr defaultColWidth="9.140625" defaultRowHeight="12.75"/>
  <cols>
    <col min="1" max="1" width="10.7109375" style="9" customWidth="1"/>
    <col min="2" max="2" width="8.85546875" style="9" customWidth="1"/>
    <col min="3" max="3" width="7.7109375" style="9" customWidth="1"/>
    <col min="4" max="4" width="12.28515625" style="9" customWidth="1"/>
    <col min="5" max="5" width="7.7109375" style="9" customWidth="1"/>
    <col min="6" max="7" width="12.28515625" style="9" customWidth="1"/>
    <col min="8" max="8" width="7.7109375" style="9" customWidth="1"/>
    <col min="9" max="9" width="12.28515625" style="9" customWidth="1"/>
    <col min="10" max="10" width="11.28515625" style="9" customWidth="1"/>
    <col min="11" max="16384" width="9.140625" style="9"/>
  </cols>
  <sheetData>
    <row r="1" spans="1:10" ht="22.5">
      <c r="A1" s="246" t="s">
        <v>102</v>
      </c>
      <c r="B1" s="246"/>
      <c r="C1" s="246"/>
      <c r="D1" s="246"/>
      <c r="E1" s="246"/>
      <c r="F1" s="246"/>
      <c r="G1" s="246"/>
      <c r="H1" s="246"/>
      <c r="I1" s="246"/>
      <c r="J1" s="246"/>
    </row>
    <row r="2" spans="1:10">
      <c r="A2" s="256" t="s">
        <v>103</v>
      </c>
      <c r="B2" s="256"/>
      <c r="C2" s="256"/>
      <c r="D2" s="256"/>
      <c r="E2" s="256"/>
      <c r="F2" s="256"/>
      <c r="G2" s="256"/>
      <c r="H2" s="256"/>
      <c r="I2" s="256"/>
      <c r="J2" s="256"/>
    </row>
    <row r="4" spans="1:10" ht="13.5" thickBot="1"/>
    <row r="5" spans="1:10">
      <c r="C5" s="171"/>
      <c r="D5" s="78"/>
      <c r="E5" s="78"/>
      <c r="F5" s="78"/>
      <c r="G5" s="78"/>
      <c r="H5" s="172"/>
    </row>
    <row r="6" spans="1:10">
      <c r="C6" s="173"/>
      <c r="D6" s="174" t="s">
        <v>29</v>
      </c>
      <c r="G6" s="154">
        <v>9.1254701185139772E-2</v>
      </c>
      <c r="H6" s="175"/>
    </row>
    <row r="7" spans="1:10">
      <c r="C7" s="173"/>
      <c r="D7" s="176"/>
      <c r="H7" s="175"/>
    </row>
    <row r="8" spans="1:10" ht="15">
      <c r="C8" s="173"/>
      <c r="G8" s="108" t="s">
        <v>104</v>
      </c>
      <c r="H8" s="175"/>
    </row>
    <row r="9" spans="1:10">
      <c r="C9" s="173"/>
      <c r="D9" s="174"/>
      <c r="G9" s="177"/>
      <c r="H9" s="175"/>
    </row>
    <row r="10" spans="1:10">
      <c r="C10" s="173"/>
      <c r="D10" s="174" t="s">
        <v>105</v>
      </c>
      <c r="G10" s="177">
        <f>NPV($G$6,D27:D40)</f>
        <v>534342514.47604048</v>
      </c>
      <c r="H10" s="175"/>
    </row>
    <row r="11" spans="1:10">
      <c r="C11" s="173"/>
      <c r="D11" s="174" t="s">
        <v>106</v>
      </c>
      <c r="G11" s="178">
        <f>NPV($G$6,F27:F40)</f>
        <v>179481356.53734419</v>
      </c>
      <c r="H11" s="175"/>
    </row>
    <row r="12" spans="1:10">
      <c r="C12" s="173"/>
      <c r="D12" s="174" t="s">
        <v>107</v>
      </c>
      <c r="G12" s="177">
        <f>+G10-G11</f>
        <v>354861157.93869627</v>
      </c>
      <c r="H12" s="175"/>
    </row>
    <row r="13" spans="1:10">
      <c r="C13" s="173"/>
      <c r="D13" s="174"/>
      <c r="G13" s="177"/>
      <c r="H13" s="175"/>
    </row>
    <row r="14" spans="1:10">
      <c r="C14" s="173"/>
      <c r="D14" s="174" t="s">
        <v>105</v>
      </c>
      <c r="G14" s="177">
        <f>+G10</f>
        <v>534342514.47604048</v>
      </c>
      <c r="H14" s="175"/>
    </row>
    <row r="15" spans="1:10">
      <c r="C15" s="173"/>
      <c r="D15" s="174" t="s">
        <v>108</v>
      </c>
      <c r="G15" s="178">
        <f>NPV($G$6,I27:I40)</f>
        <v>494342514.475425</v>
      </c>
      <c r="H15" s="175"/>
    </row>
    <row r="16" spans="1:10">
      <c r="C16" s="173"/>
      <c r="D16" s="174" t="s">
        <v>109</v>
      </c>
      <c r="G16" s="177">
        <f>+G14-G15</f>
        <v>40000000.000615478</v>
      </c>
      <c r="H16" s="175"/>
    </row>
    <row r="17" spans="1:10">
      <c r="C17" s="173"/>
      <c r="D17" s="174"/>
      <c r="G17" s="177"/>
      <c r="H17" s="175"/>
    </row>
    <row r="18" spans="1:10">
      <c r="C18" s="173"/>
      <c r="D18" s="174" t="s">
        <v>110</v>
      </c>
      <c r="G18" s="179">
        <f>+G16/G10</f>
        <v>7.4858351931510123E-2</v>
      </c>
      <c r="H18" s="175"/>
    </row>
    <row r="19" spans="1:10">
      <c r="C19" s="173"/>
      <c r="D19" s="174" t="s">
        <v>111</v>
      </c>
      <c r="G19" s="179">
        <f>+G16/G12</f>
        <v>0.11272014168292165</v>
      </c>
      <c r="H19" s="175"/>
    </row>
    <row r="20" spans="1:10" ht="13.5" thickBot="1">
      <c r="C20" s="180"/>
      <c r="D20" s="181"/>
      <c r="E20" s="81"/>
      <c r="F20" s="81"/>
      <c r="G20" s="182"/>
      <c r="H20" s="183"/>
    </row>
    <row r="21" spans="1:10">
      <c r="D21" s="127"/>
      <c r="G21" s="155"/>
    </row>
    <row r="22" spans="1:10">
      <c r="G22" s="155"/>
    </row>
    <row r="23" spans="1:10">
      <c r="A23" s="28" t="s">
        <v>112</v>
      </c>
      <c r="B23" s="28" t="s">
        <v>113</v>
      </c>
      <c r="C23" s="248" t="s">
        <v>105</v>
      </c>
      <c r="D23" s="250"/>
      <c r="E23" s="248" t="s">
        <v>106</v>
      </c>
      <c r="F23" s="250"/>
      <c r="G23" s="28" t="s">
        <v>114</v>
      </c>
      <c r="H23" s="248" t="s">
        <v>108</v>
      </c>
      <c r="I23" s="250"/>
      <c r="J23" s="28" t="s">
        <v>115</v>
      </c>
    </row>
    <row r="24" spans="1:10" ht="4.5" customHeight="1">
      <c r="A24" s="219"/>
      <c r="B24" s="219"/>
      <c r="C24" s="220"/>
      <c r="D24" s="221"/>
      <c r="E24" s="220"/>
      <c r="F24" s="221"/>
      <c r="G24" s="219"/>
      <c r="H24" s="220"/>
      <c r="I24" s="221"/>
      <c r="J24" s="219"/>
    </row>
    <row r="25" spans="1:10">
      <c r="A25" s="222"/>
      <c r="B25" s="229" t="s">
        <v>141</v>
      </c>
      <c r="C25" s="230" t="s">
        <v>142</v>
      </c>
      <c r="D25" s="231"/>
      <c r="E25" s="230" t="s">
        <v>142</v>
      </c>
      <c r="F25" s="231"/>
      <c r="G25" s="228"/>
      <c r="H25" s="230" t="s">
        <v>142</v>
      </c>
      <c r="I25" s="231"/>
      <c r="J25" s="228"/>
    </row>
    <row r="26" spans="1:10" ht="4.5" customHeight="1">
      <c r="A26" s="222"/>
      <c r="B26" s="225"/>
      <c r="C26" s="226"/>
      <c r="D26" s="227"/>
      <c r="E26" s="226"/>
      <c r="F26" s="227"/>
      <c r="G26" s="225"/>
      <c r="H26" s="226"/>
      <c r="I26" s="227"/>
      <c r="J26" s="225"/>
    </row>
    <row r="27" spans="1:10">
      <c r="A27" s="143">
        <v>2000</v>
      </c>
      <c r="B27" s="156">
        <v>788954</v>
      </c>
      <c r="C27" s="157">
        <v>76.48</v>
      </c>
      <c r="D27" s="158">
        <f>+B27*C27</f>
        <v>60339201.920000002</v>
      </c>
      <c r="E27" s="157">
        <v>23.03</v>
      </c>
      <c r="F27" s="158">
        <f t="shared" ref="F27:F40" si="0">+B27*E27</f>
        <v>18169610.620000001</v>
      </c>
      <c r="G27" s="159">
        <f t="shared" ref="G27:G40" si="1">+D27-F27</f>
        <v>42169591.299999997</v>
      </c>
      <c r="H27" s="157">
        <v>70.739999999999995</v>
      </c>
      <c r="I27" s="158">
        <f t="shared" ref="I27:I40" si="2">+B27*H27</f>
        <v>55810605.959999993</v>
      </c>
      <c r="J27" s="160">
        <f t="shared" ref="J27:J40" si="3">+D27-I27</f>
        <v>4528595.9600000083</v>
      </c>
    </row>
    <row r="28" spans="1:10">
      <c r="A28" s="143">
        <f>+A27+1</f>
        <v>2001</v>
      </c>
      <c r="B28" s="161">
        <v>788954</v>
      </c>
      <c r="C28" s="162">
        <v>78.03</v>
      </c>
      <c r="D28" s="163">
        <f t="shared" ref="D28:D40" si="4">+B28*C28</f>
        <v>61562080.619999997</v>
      </c>
      <c r="E28" s="162">
        <v>29.71</v>
      </c>
      <c r="F28" s="163">
        <f t="shared" si="0"/>
        <v>23439823.34</v>
      </c>
      <c r="G28" s="164">
        <f t="shared" si="1"/>
        <v>38122257.280000001</v>
      </c>
      <c r="H28" s="162">
        <v>72.17</v>
      </c>
      <c r="I28" s="163">
        <f t="shared" si="2"/>
        <v>56938810.18</v>
      </c>
      <c r="J28" s="141">
        <f t="shared" si="3"/>
        <v>4623270.4399999976</v>
      </c>
    </row>
    <row r="29" spans="1:10">
      <c r="A29" s="143">
        <f t="shared" ref="A29:A40" si="5">+A28+1</f>
        <v>2002</v>
      </c>
      <c r="B29" s="161">
        <v>788954</v>
      </c>
      <c r="C29" s="162">
        <v>79.5</v>
      </c>
      <c r="D29" s="163">
        <f t="shared" si="4"/>
        <v>62721843</v>
      </c>
      <c r="E29" s="162">
        <v>29.7</v>
      </c>
      <c r="F29" s="163">
        <f t="shared" si="0"/>
        <v>23431933.800000001</v>
      </c>
      <c r="G29" s="164">
        <f t="shared" si="1"/>
        <v>39289909.200000003</v>
      </c>
      <c r="H29" s="162">
        <v>73.53</v>
      </c>
      <c r="I29" s="163">
        <f t="shared" si="2"/>
        <v>58011787.619999997</v>
      </c>
      <c r="J29" s="141">
        <f t="shared" si="3"/>
        <v>4710055.3800000027</v>
      </c>
    </row>
    <row r="30" spans="1:10">
      <c r="A30" s="143">
        <f t="shared" si="5"/>
        <v>2003</v>
      </c>
      <c r="B30" s="161">
        <v>811229</v>
      </c>
      <c r="C30" s="162">
        <v>80.69</v>
      </c>
      <c r="D30" s="163">
        <f t="shared" si="4"/>
        <v>65458068.009999998</v>
      </c>
      <c r="E30" s="162">
        <v>28.56</v>
      </c>
      <c r="F30" s="163">
        <f t="shared" si="0"/>
        <v>23168700.239999998</v>
      </c>
      <c r="G30" s="164">
        <f t="shared" si="1"/>
        <v>42289367.769999996</v>
      </c>
      <c r="H30" s="162">
        <v>74.64</v>
      </c>
      <c r="I30" s="163">
        <f t="shared" si="2"/>
        <v>60550132.560000002</v>
      </c>
      <c r="J30" s="141">
        <f t="shared" si="3"/>
        <v>4907935.4499999955</v>
      </c>
    </row>
    <row r="31" spans="1:10">
      <c r="A31" s="143">
        <f t="shared" si="5"/>
        <v>2004</v>
      </c>
      <c r="B31" s="161">
        <v>855779</v>
      </c>
      <c r="C31" s="162">
        <v>81.56</v>
      </c>
      <c r="D31" s="163">
        <f t="shared" si="4"/>
        <v>69797335.239999995</v>
      </c>
      <c r="E31" s="162">
        <v>27.94</v>
      </c>
      <c r="F31" s="163">
        <f t="shared" si="0"/>
        <v>23910465.260000002</v>
      </c>
      <c r="G31" s="164">
        <f t="shared" si="1"/>
        <v>45886869.979999989</v>
      </c>
      <c r="H31" s="162">
        <v>75.44</v>
      </c>
      <c r="I31" s="163">
        <f t="shared" si="2"/>
        <v>64559967.759999998</v>
      </c>
      <c r="J31" s="141">
        <f t="shared" si="3"/>
        <v>5237367.4799999967</v>
      </c>
    </row>
    <row r="32" spans="1:10">
      <c r="A32" s="143">
        <f t="shared" si="5"/>
        <v>2005</v>
      </c>
      <c r="B32" s="161">
        <v>855779</v>
      </c>
      <c r="C32" s="162">
        <v>83.2</v>
      </c>
      <c r="D32" s="163">
        <f t="shared" si="4"/>
        <v>71200812.799999997</v>
      </c>
      <c r="E32" s="162">
        <v>28.07</v>
      </c>
      <c r="F32" s="163">
        <f t="shared" si="0"/>
        <v>24021716.530000001</v>
      </c>
      <c r="G32" s="164">
        <f t="shared" si="1"/>
        <v>47179096.269999996</v>
      </c>
      <c r="H32" s="162">
        <v>76.959999999999994</v>
      </c>
      <c r="I32" s="163">
        <f t="shared" si="2"/>
        <v>65860751.839999996</v>
      </c>
      <c r="J32" s="141">
        <f t="shared" si="3"/>
        <v>5340060.9600000009</v>
      </c>
    </row>
    <row r="33" spans="1:10">
      <c r="A33" s="143">
        <f t="shared" si="5"/>
        <v>2006</v>
      </c>
      <c r="B33" s="161">
        <v>855779</v>
      </c>
      <c r="C33" s="162">
        <v>85.13</v>
      </c>
      <c r="D33" s="163">
        <f t="shared" si="4"/>
        <v>72852466.269999996</v>
      </c>
      <c r="E33" s="162">
        <v>28.26</v>
      </c>
      <c r="F33" s="163">
        <f t="shared" si="0"/>
        <v>24184314.540000003</v>
      </c>
      <c r="G33" s="164">
        <f t="shared" si="1"/>
        <v>48668151.729999989</v>
      </c>
      <c r="H33" s="162">
        <v>78.739999999999995</v>
      </c>
      <c r="I33" s="163">
        <f t="shared" si="2"/>
        <v>67384038.459999993</v>
      </c>
      <c r="J33" s="141">
        <f t="shared" si="3"/>
        <v>5468427.8100000024</v>
      </c>
    </row>
    <row r="34" spans="1:10">
      <c r="A34" s="143">
        <f t="shared" si="5"/>
        <v>2007</v>
      </c>
      <c r="B34" s="161">
        <v>855779</v>
      </c>
      <c r="C34" s="162">
        <v>86.86</v>
      </c>
      <c r="D34" s="163">
        <f t="shared" si="4"/>
        <v>74332963.939999998</v>
      </c>
      <c r="E34" s="162">
        <v>28.26</v>
      </c>
      <c r="F34" s="163">
        <f t="shared" si="0"/>
        <v>24184314.540000003</v>
      </c>
      <c r="G34" s="164">
        <f t="shared" si="1"/>
        <v>50148649.399999991</v>
      </c>
      <c r="H34" s="162">
        <v>80.34</v>
      </c>
      <c r="I34" s="163">
        <f t="shared" si="2"/>
        <v>68753284.859999999</v>
      </c>
      <c r="J34" s="141">
        <f t="shared" si="3"/>
        <v>5579679.0799999982</v>
      </c>
    </row>
    <row r="35" spans="1:10">
      <c r="A35" s="143">
        <f t="shared" si="5"/>
        <v>2008</v>
      </c>
      <c r="B35" s="161">
        <v>855779</v>
      </c>
      <c r="C35" s="162">
        <v>88.79</v>
      </c>
      <c r="D35" s="163">
        <f t="shared" si="4"/>
        <v>75984617.410000011</v>
      </c>
      <c r="E35" s="162">
        <v>28.8</v>
      </c>
      <c r="F35" s="163">
        <f t="shared" si="0"/>
        <v>24646435.199999999</v>
      </c>
      <c r="G35" s="164">
        <f t="shared" si="1"/>
        <v>51338182.210000008</v>
      </c>
      <c r="H35" s="162">
        <v>82.13</v>
      </c>
      <c r="I35" s="163">
        <f t="shared" si="2"/>
        <v>70285129.269999996</v>
      </c>
      <c r="J35" s="141">
        <f t="shared" si="3"/>
        <v>5699488.1400000155</v>
      </c>
    </row>
    <row r="36" spans="1:10">
      <c r="A36" s="143">
        <f t="shared" si="5"/>
        <v>2009</v>
      </c>
      <c r="B36" s="161">
        <v>855779</v>
      </c>
      <c r="C36" s="162">
        <v>90.69</v>
      </c>
      <c r="D36" s="163">
        <f t="shared" si="4"/>
        <v>77610597.510000005</v>
      </c>
      <c r="E36" s="162">
        <v>29.08</v>
      </c>
      <c r="F36" s="163">
        <f t="shared" si="0"/>
        <v>24886053.32</v>
      </c>
      <c r="G36" s="164">
        <f t="shared" si="1"/>
        <v>52724544.190000005</v>
      </c>
      <c r="H36" s="162">
        <v>83.88</v>
      </c>
      <c r="I36" s="163">
        <f t="shared" si="2"/>
        <v>71782742.519999996</v>
      </c>
      <c r="J36" s="141">
        <f t="shared" si="3"/>
        <v>5827854.9900000095</v>
      </c>
    </row>
    <row r="37" spans="1:10">
      <c r="A37" s="143">
        <f t="shared" si="5"/>
        <v>2010</v>
      </c>
      <c r="B37" s="161">
        <v>855779</v>
      </c>
      <c r="C37" s="162">
        <v>92.71</v>
      </c>
      <c r="D37" s="163">
        <f t="shared" si="4"/>
        <v>79339271.089999989</v>
      </c>
      <c r="E37" s="162">
        <v>29.36</v>
      </c>
      <c r="F37" s="163">
        <f t="shared" si="0"/>
        <v>25125671.440000001</v>
      </c>
      <c r="G37" s="164">
        <f t="shared" si="1"/>
        <v>54213599.649999991</v>
      </c>
      <c r="H37" s="162">
        <v>85.76</v>
      </c>
      <c r="I37" s="163">
        <f t="shared" si="2"/>
        <v>73391607.040000007</v>
      </c>
      <c r="J37" s="141">
        <f t="shared" si="3"/>
        <v>5947664.0499999821</v>
      </c>
    </row>
    <row r="38" spans="1:10">
      <c r="A38" s="143">
        <f t="shared" si="5"/>
        <v>2011</v>
      </c>
      <c r="B38" s="161">
        <v>855779</v>
      </c>
      <c r="C38" s="162">
        <v>94.78</v>
      </c>
      <c r="D38" s="163">
        <f t="shared" si="4"/>
        <v>81110733.620000005</v>
      </c>
      <c r="E38" s="162">
        <v>29.64</v>
      </c>
      <c r="F38" s="163">
        <f t="shared" si="0"/>
        <v>25365289.559999999</v>
      </c>
      <c r="G38" s="164">
        <f t="shared" si="1"/>
        <v>55745444.060000002</v>
      </c>
      <c r="H38" s="162">
        <v>87.67</v>
      </c>
      <c r="I38" s="163">
        <f t="shared" si="2"/>
        <v>75026144.930000007</v>
      </c>
      <c r="J38" s="141">
        <f t="shared" si="3"/>
        <v>6084588.6899999976</v>
      </c>
    </row>
    <row r="39" spans="1:10">
      <c r="A39" s="143">
        <f t="shared" si="5"/>
        <v>2012</v>
      </c>
      <c r="B39" s="161">
        <v>855779</v>
      </c>
      <c r="C39" s="162">
        <v>96.9</v>
      </c>
      <c r="D39" s="163">
        <f t="shared" si="4"/>
        <v>82924985.100000009</v>
      </c>
      <c r="E39" s="162">
        <v>29.64</v>
      </c>
      <c r="F39" s="163">
        <f t="shared" si="0"/>
        <v>25365289.559999999</v>
      </c>
      <c r="G39" s="164">
        <f t="shared" si="1"/>
        <v>57559695.540000007</v>
      </c>
      <c r="H39" s="162">
        <v>89.63</v>
      </c>
      <c r="I39" s="163">
        <f t="shared" si="2"/>
        <v>76703471.769999996</v>
      </c>
      <c r="J39" s="141">
        <f t="shared" si="3"/>
        <v>6221513.3300000131</v>
      </c>
    </row>
    <row r="40" spans="1:10">
      <c r="A40" s="165">
        <f t="shared" si="5"/>
        <v>2013</v>
      </c>
      <c r="B40" s="166">
        <v>570519</v>
      </c>
      <c r="C40" s="167">
        <v>99.3</v>
      </c>
      <c r="D40" s="168">
        <f t="shared" si="4"/>
        <v>56652536.699999996</v>
      </c>
      <c r="E40" s="167">
        <v>33.75</v>
      </c>
      <c r="F40" s="168">
        <f t="shared" si="0"/>
        <v>19255016.25</v>
      </c>
      <c r="G40" s="169">
        <f t="shared" si="1"/>
        <v>37397520.449999996</v>
      </c>
      <c r="H40" s="167">
        <v>92.43</v>
      </c>
      <c r="I40" s="168">
        <f t="shared" si="2"/>
        <v>52733071.170000002</v>
      </c>
      <c r="J40" s="170">
        <f t="shared" si="3"/>
        <v>3919465.5299999937</v>
      </c>
    </row>
    <row r="45" spans="1:10">
      <c r="A45" s="9" t="s">
        <v>116</v>
      </c>
    </row>
  </sheetData>
  <mergeCells count="5">
    <mergeCell ref="A1:J1"/>
    <mergeCell ref="A2:J2"/>
    <mergeCell ref="E23:F23"/>
    <mergeCell ref="C23:D23"/>
    <mergeCell ref="H23:I23"/>
  </mergeCells>
  <phoneticPr fontId="24" type="noConversion"/>
  <printOptions horizontalCentered="1"/>
  <pageMargins left="0.25" right="0.25" top="1" bottom="1" header="0.5" footer="0.5"/>
  <pageSetup orientation="portrait" horizontalDpi="0" r:id="rId1"/>
  <headerFooter alignWithMargins="0"/>
  <drawing r:id="rId2"/>
</worksheet>
</file>

<file path=docMetadata/LabelInfo.xml><?xml version="1.0" encoding="utf-8"?>
<clbl:labelList xmlns:clbl="http://schemas.microsoft.com/office/2020/mipLabelMetadata">
  <clbl:label id="{87ba5c36-b7cf-4793-bbc2-bd5b3a9f95ca}" enabled="1" method="Privileged" siteId="{72f988bf-86f1-41af-91ab-2d7cd011db47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6</vt:i4>
      </vt:variant>
      <vt:variant>
        <vt:lpstr>Charts</vt:lpstr>
      </vt:variant>
      <vt:variant>
        <vt:i4>1</vt:i4>
      </vt:variant>
      <vt:variant>
        <vt:lpstr>Named Ranges</vt:lpstr>
      </vt:variant>
      <vt:variant>
        <vt:i4>7</vt:i4>
      </vt:variant>
    </vt:vector>
  </HeadingPairs>
  <TitlesOfParts>
    <vt:vector size="14" baseType="lpstr">
      <vt:lpstr>Summary</vt:lpstr>
      <vt:lpstr>Damage Calculations</vt:lpstr>
      <vt:lpstr>Tenaska's i Adjustment</vt:lpstr>
      <vt:lpstr>Brazos' i Adjustment</vt:lpstr>
      <vt:lpstr>Offer Comparison</vt:lpstr>
      <vt:lpstr>Cedar Brakes</vt:lpstr>
      <vt:lpstr>PPE-ENA Offer</vt:lpstr>
      <vt:lpstr>'Brazos'' i Adjustment'!Print_Area</vt:lpstr>
      <vt:lpstr>'Cedar Brakes'!Print_Area</vt:lpstr>
      <vt:lpstr>'Damage Calculations'!Print_Area</vt:lpstr>
      <vt:lpstr>'Offer Comparison'!Print_Area</vt:lpstr>
      <vt:lpstr>Summary!Print_Area</vt:lpstr>
      <vt:lpstr>'Tenaska''s i Adjustment'!Print_Area</vt:lpstr>
      <vt:lpstr>'Offer Comparison'!Print_Titles</vt:lpstr>
    </vt:vector>
  </TitlesOfParts>
  <Company>ect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clandry</dc:creator>
  <cp:lastModifiedBy>Haoyu Dong</cp:lastModifiedBy>
  <cp:lastPrinted>2000-11-15T14:49:31Z</cp:lastPrinted>
  <dcterms:created xsi:type="dcterms:W3CDTF">2000-06-02T22:33:54Z</dcterms:created>
  <dcterms:modified xsi:type="dcterms:W3CDTF">2025-12-03T05:32:04Z</dcterms:modified>
</cp:coreProperties>
</file>